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3"/>
    <sheet name="Assumptions" sheetId="2" state="visible" r:id="rId4"/>
    <sheet name="Transaction" sheetId="3" state="visible" r:id="rId5"/>
    <sheet name="Model" sheetId="4" state="visible" r:id="rId6"/>
    <sheet name="Sensitivity" sheetId="5" state="visible" r:id="rId7"/>
    <sheet name="Sources" sheetId="6" state="visible" r:id="rId8"/>
  </sheets>
  <definedNames>
    <definedName function="false" hidden="false" localSheetId="1" name="_xlnm.Print_Titles" vbProcedure="false">Assumptions!$1:$4</definedName>
    <definedName function="false" hidden="false" localSheetId="3" name="_xlnm.Print_Titles" vbProcedure="false">Model!$1:$4</definedName>
    <definedName function="false" hidden="false" localSheetId="4" name="_xlnm.Print_Titles" vbProcedure="false">Sensitivity!$1:$4</definedName>
    <definedName function="false" hidden="false" localSheetId="5" name="_xlnm.Print_Titles" vbProcedure="false">Sources!$1:$4</definedName>
    <definedName function="false" hidden="false" localSheetId="0" name="_xlnm.Print_Titles" vbProcedure="false">Summary!$1:$4</definedName>
    <definedName function="false" hidden="false" localSheetId="2" name="_xlnm.Print_Titles" vbProcedure="false">Transaction!$1:$4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<sst xmlns="http://schemas.openxmlformats.org/spreadsheetml/2006/main" count="149" uniqueCount="132">
  <si>
    <t xml:space="preserve">Example Manufacturing Ltd (illustrative) — Summary</t>
  </si>
  <si>
    <t xml:space="preserve">INR crore unless stated · Year ended 2026-03-31 · standalone · Illustrative scenario</t>
  </si>
  <si>
    <t xml:space="preserve">Sponsor cash equity</t>
  </si>
  <si>
    <t xml:space="preserve">A formula-driven scenario, not a financing offer. Forecasts, tax treatment, facility terms and cash availability need transaction-specific review. Notes are not swept before maturity. New revolver draws incur half-year interest; existing balances incur full-year interest.</t>
  </si>
  <si>
    <t xml:space="preserve">Rollover equity</t>
  </si>
  <si>
    <t xml:space="preserve">Entry enterprise value</t>
  </si>
  <si>
    <t xml:space="preserve">Entry EV / adjusted EBITDA</t>
  </si>
  <si>
    <t xml:space="preserve">Exit year</t>
  </si>
  <si>
    <t xml:space="preserve">Exit equity value</t>
  </si>
  <si>
    <t xml:space="preserve">Equity MOIC</t>
  </si>
  <si>
    <t xml:space="preserve">Equity IRR</t>
  </si>
  <si>
    <t xml:space="preserve">Share price is dated 2026-03-31; this is a dated scenario, not current valuation.</t>
  </si>
  <si>
    <t xml:space="preserve">Historical inputs are user-supplied or illustrative and have not been verified against original filings.</t>
  </si>
  <si>
    <t xml:space="preserve">Example Manufacturing Ltd (illustrative) — Assumptions</t>
  </si>
  <si>
    <t xml:space="preserve">Revenue</t>
  </si>
  <si>
    <t xml:space="preserve">User input notes: All figures are invented teaching assumptions, not investment research.</t>
  </si>
  <si>
    <t xml:space="preserve">Reported EBITDA</t>
  </si>
  <si>
    <t xml:space="preserve">One-off EBITDA gain</t>
  </si>
  <si>
    <t xml:space="preserve">Gross debt refinanced</t>
  </si>
  <si>
    <t xml:space="preserve">Cash available at close</t>
  </si>
  <si>
    <t xml:space="preserve">Shares outstanding (crore)</t>
  </si>
  <si>
    <t xml:space="preserve">Consolidated cash access: Standalone teaching/operating case.</t>
  </si>
  <si>
    <t xml:space="preserve">Share price (INR)</t>
  </si>
  <si>
    <t xml:space="preserve">Minority enterprise-value adjustment</t>
  </si>
  <si>
    <t xml:space="preserve">Offer premium</t>
  </si>
  <si>
    <t xml:space="preserve">Promoter rollover</t>
  </si>
  <si>
    <t xml:space="preserve">Minimum closing cash</t>
  </si>
  <si>
    <t xml:space="preserve">Minority valuation: Not applicable to this standalone case.</t>
  </si>
  <si>
    <t xml:space="preserve">Advisory fee / EV</t>
  </si>
  <si>
    <t xml:space="preserve">Financing fee / new debt</t>
  </si>
  <si>
    <t xml:space="preserve">Tax rate</t>
  </si>
  <si>
    <t xml:space="preserve">Interest earned on cash</t>
  </si>
  <si>
    <t xml:space="preserve">Revolver commitment</t>
  </si>
  <si>
    <t xml:space="preserve">Price dated 2026-03-31. All forecast drivers and financing terms are editable assumptions, not company guidance.</t>
  </si>
  <si>
    <t xml:space="preserve">Revolver interest</t>
  </si>
  <si>
    <t xml:space="preserve">Cash sweep</t>
  </si>
  <si>
    <t xml:space="preserve">Exit EBITDA multiple</t>
  </si>
  <si>
    <t xml:space="preserve">Fee amortisation years</t>
  </si>
  <si>
    <t xml:space="preserve">Debt tranche</t>
  </si>
  <si>
    <t xml:space="preserve">EBITDA leverage</t>
  </si>
  <si>
    <t xml:space="preserve">Interest rate</t>
  </si>
  <si>
    <t xml:space="preserve">Annual amortisation</t>
  </si>
  <si>
    <t xml:space="preserve">Maturity year</t>
  </si>
  <si>
    <t xml:space="preserve">Term Loan A</t>
  </si>
  <si>
    <t xml:space="preserve">Term Loan B</t>
  </si>
  <si>
    <t xml:space="preserve">Senior Notes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</si>
  <si>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</si>
  <si>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</si>
  <si>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</si>
  <si>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</si>
  <si>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</si>
  <si>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Revenue growth</t>
  </si>
  <si>
    <t xml:space="preserve">EBITDA margin</t>
  </si>
  <si>
    <t xml:space="preserve">D&amp;A / revenue</t>
  </si>
  <si>
    <t xml:space="preserve">Capex / revenue</t>
  </si>
  <si>
    <t xml:space="preserve">NWC / incremental revenue</t>
  </si>
  <si>
    <t xml:space="preserve">Minority cash distributions</t>
  </si>
  <si>
    <t xml:space="preserve">Minority value at exit</t>
  </si>
  <si>
    <t xml:space="preserve">Example Manufacturing Ltd (illustrative) — Transaction</t>
  </si>
  <si>
    <t xml:space="preserve">Equity purchase value</t>
  </si>
  <si>
    <t xml:space="preserve">Cash funding is deducted once in enterprise value and separately shown as a funding source against gross-debt refinancing uses. Retained subsidiary minorities are not purchased by the sponsor.</t>
  </si>
  <si>
    <t xml:space="preserve">Existing gross debt</t>
  </si>
  <si>
    <t xml:space="preserve">Existing cash funding</t>
  </si>
  <si>
    <t xml:space="preserve">Minority EV adjustment</t>
  </si>
  <si>
    <t xml:space="preserve">Enterprise value</t>
  </si>
  <si>
    <t xml:space="preserve">Adjusted EBITDA</t>
  </si>
  <si>
    <t xml:space="preserve">Advisory fees</t>
  </si>
  <si>
    <t xml:space="preserve">Financing fees</t>
  </si>
  <si>
    <t xml:space="preserve">Minimum cash funded</t>
  </si>
  <si>
    <t xml:space="preserve">Total uses</t>
  </si>
  <si>
    <t xml:space="preserve">Cash funding</t>
  </si>
  <si>
    <t xml:space="preserve">Total sources</t>
  </si>
  <si>
    <t xml:space="preserve">Sponsor + rollover equity</t>
  </si>
  <si>
    <t xml:space="preserve">Sponsor economic ownership</t>
  </si>
  <si>
    <t xml:space="preserve">Example Manufacturing Ltd (illustrative) — Model</t>
  </si>
  <si>
    <t xml:space="preserve">Closing</t>
  </si>
  <si>
    <t xml:space="preserve">D&amp;A</t>
  </si>
  <si>
    <t xml:space="preserve">Capital expenditure</t>
  </si>
  <si>
    <t xml:space="preserve">Increase / (release) in NWC</t>
  </si>
  <si>
    <t xml:space="preserve">Cash interest income</t>
  </si>
  <si>
    <t xml:space="preserve">Financing fee amortisation</t>
  </si>
  <si>
    <t xml:space="preserve">Interest before new revolver draws</t>
  </si>
  <si>
    <t xml:space="preserve">Taxable income before new draws</t>
  </si>
  <si>
    <t xml:space="preserve">Cash flow before new draws</t>
  </si>
  <si>
    <t xml:space="preserve">Mandatory principal payments</t>
  </si>
  <si>
    <t xml:space="preserve">Cash gap before new draws</t>
  </si>
  <si>
    <t xml:space="preserve">Required revolver draw</t>
  </si>
  <si>
    <t xml:space="preserve">Draw within committed facility</t>
  </si>
  <si>
    <t xml:space="preserve">Cash interest including new draws</t>
  </si>
  <si>
    <t xml:space="preserve">Cash taxes</t>
  </si>
  <si>
    <t xml:space="preserve">Cash flow before debt repayment</t>
  </si>
  <si>
    <t xml:space="preserve">TLA: beginning balance</t>
  </si>
  <si>
    <t xml:space="preserve">TLA: mandatory repayment</t>
  </si>
  <si>
    <t xml:space="preserve">TLA: cash sweep</t>
  </si>
  <si>
    <t xml:space="preserve">TLA: ending balance</t>
  </si>
  <si>
    <t xml:space="preserve">TLB: beginning balance</t>
  </si>
  <si>
    <t xml:space="preserve">TLB: mandatory repayment</t>
  </si>
  <si>
    <t xml:space="preserve">TLB: cash sweep</t>
  </si>
  <si>
    <t xml:space="preserve">TLB: ending balance</t>
  </si>
  <si>
    <t xml:space="preserve">Notes: beginning balance</t>
  </si>
  <si>
    <t xml:space="preserve">Notes: mandatory repayment</t>
  </si>
  <si>
    <t xml:space="preserve">Notes: cash sweep (not callable)</t>
  </si>
  <si>
    <t xml:space="preserve">Notes: ending balance</t>
  </si>
  <si>
    <t xml:space="preserve">Revolver: beginning balance</t>
  </si>
  <si>
    <t xml:space="preserve">Revolver: repayment</t>
  </si>
  <si>
    <t xml:space="preserve">Revolver: ending balance</t>
  </si>
  <si>
    <t xml:space="preserve">Cash before sweep</t>
  </si>
  <si>
    <t xml:space="preserve">Available term-loan sweep</t>
  </si>
  <si>
    <t xml:space="preserve">Beginning cash</t>
  </si>
  <si>
    <t xml:space="preserve">Ending cash</t>
  </si>
  <si>
    <t xml:space="preserve">Unfunded cash requirement</t>
  </si>
  <si>
    <t xml:space="preserve">Total ending debt</t>
  </si>
  <si>
    <t xml:space="preserve">Net debt</t>
  </si>
  <si>
    <t xml:space="preserve">EBITDA / cash interest</t>
  </si>
  <si>
    <t xml:space="preserve">Exit enterprise value</t>
  </si>
  <si>
    <t xml:space="preserve">Sponsor exit proceeds</t>
  </si>
  <si>
    <t xml:space="preserve">Equity cash flows</t>
  </si>
  <si>
    <t xml:space="preserve">IRR using cash flows</t>
  </si>
  <si>
    <t xml:space="preserve">Check: cash rollforward difference</t>
  </si>
  <si>
    <t xml:space="preserve">Check: debt rollforward difference</t>
  </si>
  <si>
    <t xml:space="preserve">Example Manufacturing Ltd (illustrative) — Sensitivity</t>
  </si>
  <si>
    <t xml:space="preserve">Exit multiple / exit year formulas update with the model. Leverage and capex require changing the Assumptions inputs.</t>
  </si>
  <si>
    <t xml:space="preserve">Exit multiple</t>
  </si>
  <si>
    <t xml:space="preserve">Example Manufacturing Ltd (illustrative) — Sources</t>
  </si>
  <si>
    <t xml:space="preserve">Input</t>
  </si>
  <si>
    <t xml:space="preserve">Value</t>
  </si>
  <si>
    <t xml:space="preserve">Unit</t>
  </si>
  <si>
    <t xml:space="preserve">Period end</t>
  </si>
  <si>
    <t xml:space="preserve">Document URL</t>
  </si>
  <si>
    <t xml:space="preserve">PDF page</t>
  </si>
  <si>
    <t xml:space="preserve">Source excerpt</t>
  </si>
  <si>
    <t xml:space="preserve">Source evidence was not provided. Historical figures are customer inputs or synthetic teaching assumptions. No source verification is claimed.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</si>
</sst>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;\(#,##0.00\);\–"/>
    <numFmt numFmtId="166" formatCode="0.00\x"/>
    <numFmt numFmtId="167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9"/>
      <color rgb="FF142B4B"/>
      <name val="Calibri"/>
      <family val="2"/>
      <charset val="1"/>
    </font>
    <font>
      <sz val="10"/>
      <color rgb="FF52627A"/>
      <name val="Calibri"/>
      <family val="2"/>
      <charset val="1"/>
    </font>
    <font>
      <b val="true"/>
      <sz val="11"/>
      <color rgb="FF142B4B"/>
      <name val="Calibri"/>
      <family val="2"/>
      <charset val="1"/>
    </font>
    <font>
      <sz val="11"/>
      <color rgb="FF172033"/>
      <name val="Calibri"/>
      <family val="2"/>
      <charset val="1"/>
    </font>
    <font>
      <sz val="11"/>
      <color rgb="FF9A3412"/>
      <name val="Calibri"/>
      <family val="2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1"/>
      <color rgb="FF2563EB"/>
      <name val="Calibri"/>
      <family val="2"/>
      <charset val="1"/>
    </font>
    <font>
      <sz val="11"/>
      <color rgb="FF15803D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AF0F8"/>
        <bgColor rgb="FFFFF4E6"/>
      </patternFill>
    </fill>
    <fill>
      <patternFill patternType="solid">
        <fgColor rgb="FFFFF4E6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9A3412"/>
      </font>
      <fill>
        <patternFill>
          <bgColor rgb="FFFFF4E6"/>
        </patternFill>
      </fill>
    </dxf>
  </dxfs>
  <colors>
    <indexedColors>
      <rgbColor rgb="FF000000"/>
      <rgbColor rgb="FFFFF4E6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78787"/>
      <rgbColor rgb="FF91A5EE"/>
      <rgbColor rgb="FF993366"/>
      <rgbColor rgb="FFFFFFCC"/>
      <rgbColor rgb="FFEAF0F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FF6600"/>
      <rgbColor rgb="FF52627A"/>
      <rgbColor rgb="FF969696"/>
      <rgbColor rgb="FF142B4B"/>
      <rgbColor rgb="FF339966"/>
      <rgbColor rgb="FF003300"/>
      <rgbColor rgb="FF333300"/>
      <rgbColor rgb="FF9A3412"/>
      <rgbColor rgb="FF993366"/>
      <rgbColor rgb="FF3855CC"/>
      <rgbColor rgb="FF1720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Earnings and available cash flow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"EBITDA"</c:f>
              <c:strCache>
                <c:ptCount val="1"/>
                <c:pt idx="0">
                  <c:v>EBITDA</c:v>
                </c:pt>
              </c:strCache>
            </c:strRef>
          </c:tx>
          <c:spPr>
            <a:solidFill>
              <a:srgbClr val="3855CC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Model!$D$4:$H$4</c:f>
              <c:multiLvlStrCache>
                <c:ptCount val="1"/>
                <c:lvl>
                  <c:pt idx="0">
                    <c:v>5</c:v>
                  </c:pt>
                </c:lvl>
                <c:lvl>
                  <c:pt idx="0">
                    <c:v>4</c:v>
                  </c:pt>
                </c:lvl>
                <c:lvl>
                  <c:pt idx="0">
                    <c:v>3</c:v>
                  </c:pt>
                </c:lvl>
                <c:lvl>
                  <c:pt idx="0">
                    <c:v>2</c:v>
                  </c:pt>
                </c:lvl>
                <c:lvl>
                  <c:pt idx="0">
                    <c:v>1</c:v>
                  </c:pt>
                </c:lvl>
              </c:multiLvlStrCache>
            </c:multiLvlStrRef>
          </c:cat>
          <c:val>
            <c:numRef>
              <c:f>Model!$D$7:$H$7</c:f>
              <c:numCache>
                <c:formatCode>#,##0.00;\(#,##0.00\);\–</c:formatCode>
                <c:ptCount val="5"/>
                <c:pt idx="0">
                  <c:v>214</c:v>
                </c:pt>
                <c:pt idx="1">
                  <c:v>228.98</c:v>
                </c:pt>
                <c:pt idx="2">
                  <c:v>245.0086</c:v>
                </c:pt>
                <c:pt idx="3">
                  <c:v>262.159202</c:v>
                </c:pt>
                <c:pt idx="4">
                  <c:v>280.51034614</c:v>
                </c:pt>
              </c:numCache>
            </c:numRef>
          </c:val>
        </c:ser>
        <c:ser>
          <c:idx val="1"/>
          <c:order val="1"/>
          <c:tx>
            <c:strRef>
              <c:f>"Cash flow before debt repayment"</c:f>
              <c:strCache>
                <c:ptCount val="1"/>
                <c:pt idx="0">
                  <c:v>Cash flow before debt repayment</c:v>
                </c:pt>
              </c:strCache>
            </c:strRef>
          </c:tx>
          <c:spPr>
            <a:solidFill>
              <a:srgbClr val="91A5E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Model!$D$4:$H$4</c:f>
              <c:multiLvlStrCache>
                <c:ptCount val="1"/>
                <c:lvl>
                  <c:pt idx="0">
                    <c:v>5</c:v>
                  </c:pt>
                </c:lvl>
                <c:lvl>
                  <c:pt idx="0">
                    <c:v>4</c:v>
                  </c:pt>
                </c:lvl>
                <c:lvl>
                  <c:pt idx="0">
                    <c:v>3</c:v>
                  </c:pt>
                </c:lvl>
                <c:lvl>
                  <c:pt idx="0">
                    <c:v>2</c:v>
                  </c:pt>
                </c:lvl>
                <c:lvl>
                  <c:pt idx="0">
                    <c:v>1</c:v>
                  </c:pt>
                </c:lvl>
              </c:multiLvlStrCache>
            </c:multiLvlStrRef>
          </c:cat>
          <c:val>
            <c:numRef>
              <c:f>Model!$D$22:$H$22</c:f>
              <c:numCache>
                <c:formatCode>#,##0.00;\(#,##0.00\);\–</c:formatCode>
                <c:ptCount val="5"/>
                <c:pt idx="0">
                  <c:v>74.4785714285714</c:v>
                </c:pt>
                <c:pt idx="1">
                  <c:v>87.3335803571429</c:v>
                </c:pt>
                <c:pt idx="2">
                  <c:v>101.574536104911</c:v>
                </c:pt>
                <c:pt idx="3">
                  <c:v>117.384843740778</c:v>
                </c:pt>
                <c:pt idx="4">
                  <c:v>135.661561813309</c:v>
                </c:pt>
              </c:numCache>
            </c:numRef>
          </c:val>
        </c:ser>
        <c:gapWidth val="150"/>
        <c:overlap val="0"/>
        <c:axId val="48221327"/>
        <c:axId val="43670299"/>
      </c:barChart>
      <c:catAx>
        <c:axId val="48221327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3670299"/>
        <c:crosses val="autoZero"/>
        <c:auto val="1"/>
        <c:lblAlgn val="ctr"/>
        <c:lblOffset val="100"/>
        <c:noMultiLvlLbl val="0"/>
      </c:catAx>
      <c:valAx>
        <c:axId val="4367029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INR crore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8221327"/>
        <c:crosses val="autoZero"/>
        <c:crossBetween val="between"/>
      </c:valAx>
      <c:spPr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22</xdr:row>
      <xdr:rowOff>0</xdr:rowOff>
    </xdr:from>
    <xdr:to>
      <xdr:col>3</xdr:col>
      <xdr:colOff>933120</xdr:colOff>
      <xdr:row>36</xdr:row>
      <xdr:rowOff>95040</xdr:rowOff>
    </xdr:to>
    <xdr:graphicFrame>
      <xdr:nvGraphicFramePr>
        <xdr:cNvPr id="1" name="Chart 1"/>
        <xdr:cNvGraphicFramePr/>
      </xdr:nvGraphicFramePr>
      <xdr:xfrm>
        <a:off x="0" y="4829040"/>
        <a:ext cx="6792840" cy="2762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3.71"/>
    <col collapsed="false" customWidth="true" hidden="false" outlineLevel="0" max="8" min="2" style="0" width="19.71"/>
  </cols>
  <sheetData>
    <row r="1" customFormat="false" ht="23.25" hidden="false" customHeight="false" outlineLevel="0" collapsed="false">
      <c r="A1" s="1" t="s">
        <v>0</v>
      </c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5" customFormat="false" ht="15" hidden="false" customHeight="true" outlineLevel="0" collapsed="false">
      <c r="A5" s="3" t="s">
        <v>2</v>
      </c>
      <c r="B5" s="4" t="n">
        <f aca="false">Transaction!B22</f>
        <v>718.4</v>
      </c>
      <c r="D5" s="2" t="s">
        <v>3</v>
      </c>
      <c r="E5" s="2"/>
      <c r="F5" s="2"/>
      <c r="G5" s="2"/>
      <c r="H5" s="2"/>
    </row>
    <row r="6" customFormat="false" ht="15" hidden="false" customHeight="false" outlineLevel="0" collapsed="false">
      <c r="A6" s="3" t="s">
        <v>4</v>
      </c>
      <c r="B6" s="4" t="n">
        <f aca="false">Transaction!B21</f>
        <v>0</v>
      </c>
      <c r="D6" s="2"/>
      <c r="E6" s="2"/>
      <c r="F6" s="2"/>
      <c r="G6" s="2"/>
      <c r="H6" s="2"/>
    </row>
    <row r="7" customFormat="false" ht="15" hidden="false" customHeight="false" outlineLevel="0" collapsed="false">
      <c r="A7" s="3" t="s">
        <v>5</v>
      </c>
      <c r="B7" s="4" t="n">
        <f aca="false">Transaction!B9</f>
        <v>1280</v>
      </c>
      <c r="D7" s="2"/>
      <c r="E7" s="2"/>
      <c r="F7" s="2"/>
      <c r="G7" s="2"/>
      <c r="H7" s="2"/>
    </row>
    <row r="8" customFormat="false" ht="15" hidden="false" customHeight="false" outlineLevel="0" collapsed="false">
      <c r="A8" s="3" t="s">
        <v>6</v>
      </c>
      <c r="B8" s="5" t="n">
        <f aca="false">Transaction!B9/Transaction!B10</f>
        <v>6.4</v>
      </c>
      <c r="D8" s="2"/>
      <c r="E8" s="2"/>
      <c r="F8" s="2"/>
      <c r="G8" s="2"/>
      <c r="H8" s="2"/>
    </row>
    <row r="9" customFormat="false" ht="15" hidden="false" customHeight="false" outlineLevel="0" collapsed="false">
      <c r="A9" s="3" t="s">
        <v>7</v>
      </c>
      <c r="B9" s="4" t="n">
        <f aca="false">Assumptions!B24</f>
        <v>5</v>
      </c>
      <c r="D9" s="2"/>
      <c r="E9" s="2"/>
      <c r="F9" s="2"/>
      <c r="G9" s="2"/>
      <c r="H9" s="2"/>
    </row>
    <row r="10" customFormat="false" ht="15" hidden="false" customHeight="false" outlineLevel="0" collapsed="false">
      <c r="A10" s="3" t="s">
        <v>8</v>
      </c>
      <c r="B10" s="4" t="n">
        <f aca="false">INDEX(Model!D55:H55,1,Assumptions!B24)</f>
        <v>3022.04690098471</v>
      </c>
      <c r="D10" s="2"/>
      <c r="E10" s="2"/>
      <c r="F10" s="2"/>
      <c r="G10" s="2"/>
      <c r="H10" s="2"/>
    </row>
    <row r="11" customFormat="false" ht="15" hidden="false" customHeight="false" outlineLevel="0" collapsed="false">
      <c r="A11" s="3" t="s">
        <v>9</v>
      </c>
      <c r="B11" s="5" t="n">
        <f aca="false">INDEX(Model!D56:H56,1,Assumptions!B24)</f>
        <v>4.20663544123707</v>
      </c>
      <c r="D11" s="2"/>
      <c r="E11" s="2"/>
      <c r="F11" s="2"/>
      <c r="G11" s="2"/>
      <c r="H11" s="2"/>
    </row>
    <row r="12" customFormat="false" ht="15" hidden="false" customHeight="false" outlineLevel="0" collapsed="false">
      <c r="A12" s="3" t="s">
        <v>10</v>
      </c>
      <c r="B12" s="6" t="n">
        <f aca="false">INDEX(Model!D57:H57,1,Assumptions!B24)</f>
        <v>0.332867490281536</v>
      </c>
      <c r="D12" s="2"/>
      <c r="E12" s="2"/>
      <c r="F12" s="2"/>
      <c r="G12" s="2"/>
      <c r="H12" s="2"/>
    </row>
    <row r="15" customFormat="false" ht="36" hidden="false" customHeight="true" outlineLevel="0" collapsed="false">
      <c r="A15" s="7" t="s">
        <v>11</v>
      </c>
      <c r="B15" s="7"/>
      <c r="C15" s="7"/>
      <c r="D15" s="7"/>
      <c r="E15" s="7"/>
      <c r="F15" s="7"/>
      <c r="G15" s="7"/>
      <c r="H15" s="7"/>
    </row>
    <row r="16" customFormat="false" ht="36" hidden="false" customHeight="true" outlineLevel="0" collapsed="false">
      <c r="A16" s="7" t="s">
        <v>12</v>
      </c>
      <c r="B16" s="7"/>
      <c r="C16" s="7"/>
      <c r="D16" s="7"/>
      <c r="E16" s="7"/>
      <c r="F16" s="7"/>
      <c r="G16" s="7"/>
      <c r="H16" s="7"/>
    </row>
  </sheetData>
  <mergeCells count="4">
    <mergeCell ref="A2:H2"/>
    <mergeCell ref="D5:H12"/>
    <mergeCell ref="A15:H15"/>
    <mergeCell ref="A16:H16"/>
  </mergeCells>
  <printOptions headings="false" gridLines="false" gridLinesSet="true" horizontalCentered="false" verticalCentered="false"/>
  <pageMargins left="0.7" right="0.7" top="0.75" bottom="0.75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&amp;LProspektLab · lbo-1.0&amp;RPage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3.71"/>
    <col collapsed="false" customWidth="true" hidden="false" outlineLevel="0" max="8" min="2" style="0" width="19.71"/>
  </cols>
  <sheetData>
    <row r="1" customFormat="false" ht="23.25" hidden="false" customHeight="false" outlineLevel="0" collapsed="false">
      <c r="A1" s="1" t="s">
        <v>13</v>
      </c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5" customFormat="false" ht="15" hidden="false" customHeight="true" outlineLevel="0" collapsed="false">
      <c r="A5" s="0" t="s">
        <v>14</v>
      </c>
      <c r="B5" s="8" t="n">
        <v>1000</v>
      </c>
      <c r="D5" s="2" t="s">
        <v>15</v>
      </c>
      <c r="E5" s="2"/>
      <c r="F5" s="2"/>
      <c r="G5" s="2"/>
      <c r="H5" s="2"/>
    </row>
    <row r="6" customFormat="false" ht="15" hidden="false" customHeight="false" outlineLevel="0" collapsed="false">
      <c r="A6" s="0" t="s">
        <v>16</v>
      </c>
      <c r="B6" s="8" t="n">
        <v>200</v>
      </c>
      <c r="D6" s="2"/>
      <c r="E6" s="2"/>
      <c r="F6" s="2"/>
      <c r="G6" s="2"/>
      <c r="H6" s="2"/>
    </row>
    <row r="7" customFormat="false" ht="15" hidden="false" customHeight="false" outlineLevel="0" collapsed="false">
      <c r="A7" s="0" t="s">
        <v>17</v>
      </c>
      <c r="B7" s="8" t="n">
        <v>0</v>
      </c>
      <c r="D7" s="2"/>
      <c r="E7" s="2"/>
      <c r="F7" s="2"/>
      <c r="G7" s="2"/>
      <c r="H7" s="2"/>
    </row>
    <row r="8" customFormat="false" ht="15" hidden="false" customHeight="false" outlineLevel="0" collapsed="false">
      <c r="A8" s="0" t="s">
        <v>18</v>
      </c>
      <c r="B8" s="8" t="n">
        <v>100</v>
      </c>
      <c r="D8" s="2"/>
      <c r="E8" s="2"/>
      <c r="F8" s="2"/>
      <c r="G8" s="2"/>
      <c r="H8" s="2"/>
    </row>
    <row r="9" customFormat="false" ht="15" hidden="false" customHeight="false" outlineLevel="0" collapsed="false">
      <c r="A9" s="0" t="s">
        <v>19</v>
      </c>
      <c r="B9" s="8" t="n">
        <v>20</v>
      </c>
    </row>
    <row r="10" customFormat="false" ht="15" hidden="false" customHeight="true" outlineLevel="0" collapsed="false">
      <c r="A10" s="0" t="s">
        <v>20</v>
      </c>
      <c r="B10" s="8" t="n">
        <v>10</v>
      </c>
      <c r="D10" s="2" t="s">
        <v>21</v>
      </c>
      <c r="E10" s="2"/>
      <c r="F10" s="2"/>
      <c r="G10" s="2"/>
      <c r="H10" s="2"/>
    </row>
    <row r="11" customFormat="false" ht="15" hidden="false" customHeight="false" outlineLevel="0" collapsed="false">
      <c r="A11" s="0" t="s">
        <v>22</v>
      </c>
      <c r="B11" s="8" t="n">
        <v>100</v>
      </c>
      <c r="D11" s="2"/>
      <c r="E11" s="2"/>
      <c r="F11" s="2"/>
      <c r="G11" s="2"/>
      <c r="H11" s="2"/>
    </row>
    <row r="12" customFormat="false" ht="15" hidden="false" customHeight="false" outlineLevel="0" collapsed="false">
      <c r="A12" s="0" t="s">
        <v>23</v>
      </c>
      <c r="B12" s="8" t="n">
        <v>0</v>
      </c>
      <c r="D12" s="2"/>
      <c r="E12" s="2"/>
      <c r="F12" s="2"/>
      <c r="G12" s="2"/>
      <c r="H12" s="2"/>
    </row>
    <row r="13" customFormat="false" ht="15" hidden="false" customHeight="false" outlineLevel="0" collapsed="false">
      <c r="A13" s="0" t="s">
        <v>24</v>
      </c>
      <c r="B13" s="9" t="n">
        <v>0.2</v>
      </c>
      <c r="D13" s="2"/>
      <c r="E13" s="2"/>
      <c r="F13" s="2"/>
      <c r="G13" s="2"/>
      <c r="H13" s="2"/>
    </row>
    <row r="14" customFormat="false" ht="15" hidden="false" customHeight="false" outlineLevel="0" collapsed="false">
      <c r="A14" s="0" t="s">
        <v>25</v>
      </c>
      <c r="B14" s="9" t="n">
        <v>0</v>
      </c>
    </row>
    <row r="15" customFormat="false" ht="15" hidden="false" customHeight="true" outlineLevel="0" collapsed="false">
      <c r="A15" s="0" t="s">
        <v>26</v>
      </c>
      <c r="B15" s="8" t="n">
        <v>20</v>
      </c>
      <c r="D15" s="2" t="s">
        <v>27</v>
      </c>
      <c r="E15" s="2"/>
      <c r="F15" s="2"/>
      <c r="G15" s="2"/>
      <c r="H15" s="2"/>
    </row>
    <row r="16" customFormat="false" ht="15" hidden="false" customHeight="false" outlineLevel="0" collapsed="false">
      <c r="A16" s="0" t="s">
        <v>28</v>
      </c>
      <c r="B16" s="9" t="n">
        <v>0.005</v>
      </c>
      <c r="D16" s="2"/>
      <c r="E16" s="2"/>
      <c r="F16" s="2"/>
      <c r="G16" s="2"/>
      <c r="H16" s="2"/>
    </row>
    <row r="17" customFormat="false" ht="15" hidden="false" customHeight="false" outlineLevel="0" collapsed="false">
      <c r="A17" s="0" t="s">
        <v>29</v>
      </c>
      <c r="B17" s="9" t="n">
        <v>0.02</v>
      </c>
      <c r="D17" s="2"/>
      <c r="E17" s="2"/>
      <c r="F17" s="2"/>
      <c r="G17" s="2"/>
      <c r="H17" s="2"/>
    </row>
    <row r="18" customFormat="false" ht="15" hidden="false" customHeight="false" outlineLevel="0" collapsed="false">
      <c r="A18" s="0" t="s">
        <v>30</v>
      </c>
      <c r="B18" s="9" t="n">
        <v>0.25</v>
      </c>
      <c r="D18" s="2"/>
      <c r="E18" s="2"/>
      <c r="F18" s="2"/>
      <c r="G18" s="2"/>
      <c r="H18" s="2"/>
    </row>
    <row r="19" customFormat="false" ht="15" hidden="false" customHeight="false" outlineLevel="0" collapsed="false">
      <c r="A19" s="0" t="s">
        <v>31</v>
      </c>
      <c r="B19" s="9" t="n">
        <v>0.03</v>
      </c>
    </row>
    <row r="20" customFormat="false" ht="15" hidden="false" customHeight="true" outlineLevel="0" collapsed="false">
      <c r="A20" s="0" t="s">
        <v>32</v>
      </c>
      <c r="B20" s="8" t="n">
        <v>100</v>
      </c>
      <c r="D20" s="7" t="s">
        <v>33</v>
      </c>
      <c r="E20" s="7"/>
      <c r="F20" s="7"/>
      <c r="G20" s="7"/>
      <c r="H20" s="7"/>
    </row>
    <row r="21" customFormat="false" ht="15" hidden="false" customHeight="false" outlineLevel="0" collapsed="false">
      <c r="A21" s="0" t="s">
        <v>34</v>
      </c>
      <c r="B21" s="9" t="n">
        <v>0.09</v>
      </c>
      <c r="D21" s="7"/>
      <c r="E21" s="7"/>
      <c r="F21" s="7"/>
      <c r="G21" s="7"/>
      <c r="H21" s="7"/>
    </row>
    <row r="22" customFormat="false" ht="15" hidden="false" customHeight="false" outlineLevel="0" collapsed="false">
      <c r="A22" s="0" t="s">
        <v>35</v>
      </c>
      <c r="B22" s="9" t="n">
        <v>1</v>
      </c>
      <c r="D22" s="7"/>
      <c r="E22" s="7"/>
      <c r="F22" s="7"/>
      <c r="G22" s="7"/>
      <c r="H22" s="7"/>
    </row>
    <row r="23" customFormat="false" ht="15" hidden="false" customHeight="false" outlineLevel="0" collapsed="false">
      <c r="A23" s="0" t="s">
        <v>36</v>
      </c>
      <c r="B23" s="10" t="n">
        <v>11</v>
      </c>
      <c r="D23" s="7"/>
      <c r="E23" s="7"/>
      <c r="F23" s="7"/>
      <c r="G23" s="7"/>
      <c r="H23" s="7"/>
    </row>
    <row r="24" customFormat="false" ht="15" hidden="false" customHeight="false" outlineLevel="0" collapsed="false">
      <c r="A24" s="0" t="s">
        <v>7</v>
      </c>
      <c r="B24" s="8" t="n">
        <v>5</v>
      </c>
    </row>
    <row r="25" customFormat="false" ht="15" hidden="false" customHeight="false" outlineLevel="0" collapsed="false">
      <c r="A25" s="0" t="s">
        <v>37</v>
      </c>
      <c r="B25" s="8" t="n">
        <v>7</v>
      </c>
    </row>
    <row r="28" customFormat="false" ht="15" hidden="false" customHeight="false" outlineLevel="0" collapsed="false">
      <c r="A28" s="3" t="s">
        <v>38</v>
      </c>
      <c r="D28" s="3" t="s">
        <v>39</v>
      </c>
      <c r="E28" s="3" t="s">
        <v>40</v>
      </c>
      <c r="F28" s="3" t="s">
        <v>41</v>
      </c>
      <c r="G28" s="3" t="s">
        <v>42</v>
      </c>
    </row>
    <row r="29" customFormat="false" ht="15" hidden="false" customHeight="false" outlineLevel="0" collapsed="false">
      <c r="A29" s="0" t="s">
        <v>43</v>
      </c>
      <c r="D29" s="10" t="n">
        <v>1.25</v>
      </c>
      <c r="E29" s="9" t="n">
        <v>0.085</v>
      </c>
      <c r="F29" s="9" t="n">
        <v>0.05</v>
      </c>
      <c r="G29" s="8" t="n">
        <v>5</v>
      </c>
    </row>
    <row r="30" customFormat="false" ht="15" hidden="false" customHeight="false" outlineLevel="0" collapsed="false">
      <c r="A30" s="0" t="s">
        <v>44</v>
      </c>
      <c r="D30" s="10" t="n">
        <v>1</v>
      </c>
      <c r="E30" s="9" t="n">
        <v>0.095</v>
      </c>
      <c r="F30" s="9" t="n">
        <v>0.01</v>
      </c>
      <c r="G30" s="8" t="n">
        <v>7</v>
      </c>
    </row>
    <row r="31" customFormat="false" ht="15" hidden="false" customHeight="false" outlineLevel="0" collapsed="false">
      <c r="A31" s="0" t="s">
        <v>45</v>
      </c>
      <c r="D31" s="10" t="n">
        <v>0.75</v>
      </c>
      <c r="E31" s="9" t="n">
        <v>0.105</v>
      </c>
      <c r="F31" s="9" t="n">
        <v>0</v>
      </c>
      <c r="G31" s="8" t="n">
        <v>8</v>
      </c>
    </row>
    <row r="36" customFormat="false" ht="15" hidden="false" customHeight="false" outlineLevel="0" collapsed="false">
      <c r="D36" s="3" t="s">
        <v>46</v>
      </c>
      <c r="E36" s="3" t="s">
        <v>47</v>
      </c>
      <c r="F36" s="3" t="s">
        <v>48</v>
      </c>
      <c r="G36" s="3" t="s">
        <v>49</v>
      </c>
      <c r="H36" s="3" t="s">
        <v>50</v>
      </c>
    </row>
    <row r="37" customFormat="false" ht="15" hidden="false" customHeight="false" outlineLevel="0" collapsed="false">
      <c r="A37" s="0" t="s">
        <v>51</v>
      </c>
      <c r="D37" s="9" t="n">
        <v>0.07</v>
      </c>
      <c r="E37" s="9" t="n">
        <v>0.07</v>
      </c>
      <c r="F37" s="9" t="n">
        <v>0.07</v>
      </c>
      <c r="G37" s="9" t="n">
        <v>0.07</v>
      </c>
      <c r="H37" s="9" t="n">
        <v>0.07</v>
      </c>
    </row>
    <row r="38" customFormat="false" ht="15" hidden="false" customHeight="false" outlineLevel="0" collapsed="false">
      <c r="A38" s="0" t="s">
        <v>52</v>
      </c>
      <c r="D38" s="9" t="n">
        <v>0.2</v>
      </c>
      <c r="E38" s="9" t="n">
        <v>0.2</v>
      </c>
      <c r="F38" s="9" t="n">
        <v>0.2</v>
      </c>
      <c r="G38" s="9" t="n">
        <v>0.2</v>
      </c>
      <c r="H38" s="9" t="n">
        <v>0.2</v>
      </c>
    </row>
    <row r="39" customFormat="false" ht="15" hidden="false" customHeight="false" outlineLevel="0" collapsed="false">
      <c r="A39" s="0" t="s">
        <v>53</v>
      </c>
      <c r="D39" s="9" t="n">
        <v>0.04</v>
      </c>
      <c r="E39" s="9" t="n">
        <v>0.04</v>
      </c>
      <c r="F39" s="9" t="n">
        <v>0.04</v>
      </c>
      <c r="G39" s="9" t="n">
        <v>0.04</v>
      </c>
      <c r="H39" s="9" t="n">
        <v>0.04</v>
      </c>
    </row>
    <row r="40" customFormat="false" ht="15" hidden="false" customHeight="false" outlineLevel="0" collapsed="false">
      <c r="A40" s="0" t="s">
        <v>54</v>
      </c>
      <c r="D40" s="9" t="n">
        <v>0.05</v>
      </c>
      <c r="E40" s="9" t="n">
        <v>0.05</v>
      </c>
      <c r="F40" s="9" t="n">
        <v>0.05</v>
      </c>
      <c r="G40" s="9" t="n">
        <v>0.05</v>
      </c>
      <c r="H40" s="9" t="n">
        <v>0.05</v>
      </c>
    </row>
    <row r="41" customFormat="false" ht="15" hidden="false" customHeight="false" outlineLevel="0" collapsed="false">
      <c r="A41" s="0" t="s">
        <v>55</v>
      </c>
      <c r="D41" s="9" t="n">
        <v>0.03</v>
      </c>
      <c r="E41" s="9" t="n">
        <v>0.03</v>
      </c>
      <c r="F41" s="9" t="n">
        <v>0.03</v>
      </c>
      <c r="G41" s="9" t="n">
        <v>0.03</v>
      </c>
      <c r="H41" s="9" t="n">
        <v>0.03</v>
      </c>
    </row>
    <row r="42" customFormat="false" ht="15" hidden="false" customHeight="false" outlineLevel="0" collapsed="false">
      <c r="A42" s="0" t="s">
        <v>56</v>
      </c>
      <c r="D42" s="8" t="n">
        <v>0</v>
      </c>
      <c r="E42" s="8" t="n">
        <v>0</v>
      </c>
      <c r="F42" s="8" t="n">
        <v>0</v>
      </c>
      <c r="G42" s="8" t="n">
        <v>0</v>
      </c>
      <c r="H42" s="8" t="n">
        <v>0</v>
      </c>
    </row>
    <row r="43" customFormat="false" ht="15" hidden="false" customHeight="false" outlineLevel="0" collapsed="false">
      <c r="A43" s="0" t="s">
        <v>57</v>
      </c>
      <c r="D43" s="8" t="n">
        <v>0</v>
      </c>
      <c r="E43" s="8" t="n">
        <v>0</v>
      </c>
      <c r="F43" s="8" t="n">
        <v>0</v>
      </c>
      <c r="G43" s="8" t="n">
        <v>0</v>
      </c>
      <c r="H43" s="8" t="n">
        <v>0</v>
      </c>
    </row>
  </sheetData>
  <mergeCells count="5">
    <mergeCell ref="A2:H2"/>
    <mergeCell ref="D5:H8"/>
    <mergeCell ref="D10:H13"/>
    <mergeCell ref="D15:H18"/>
    <mergeCell ref="D20:H23"/>
  </mergeCells>
  <dataValidations count="2">
    <dataValidation allowBlank="true" errorStyle="stop" operator="between" showDropDown="false" showErrorMessage="true" showInputMessage="true" sqref="B24" type="whole">
      <formula1>1</formula1>
      <formula2>5</formula2>
    </dataValidation>
    <dataValidation allowBlank="true" errorStyle="stop" operator="between" showDropDown="false" showErrorMessage="true" showInputMessage="true" sqref="D37:H37" type="decimal">
      <formula1>-0.9</formula1>
      <formula2>1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&amp;LProspektLab · lbo-1.0&amp;RPage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3.71"/>
    <col collapsed="false" customWidth="true" hidden="false" outlineLevel="0" max="8" min="2" style="0" width="19.71"/>
  </cols>
  <sheetData>
    <row r="1" customFormat="false" ht="23.25" hidden="false" customHeight="false" outlineLevel="0" collapsed="false">
      <c r="A1" s="1" t="s">
        <v>58</v>
      </c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5" customFormat="false" ht="15" hidden="false" customHeight="true" outlineLevel="0" collapsed="false">
      <c r="A5" s="0" t="s">
        <v>59</v>
      </c>
      <c r="B5" s="11" t="n">
        <f aca="false">Assumptions!B10*Assumptions!B11*(1+Assumptions!B13)</f>
        <v>1200</v>
      </c>
      <c r="D5" s="2" t="s">
        <v>60</v>
      </c>
      <c r="E5" s="2"/>
      <c r="F5" s="2"/>
      <c r="G5" s="2"/>
      <c r="H5" s="2"/>
    </row>
    <row r="6" customFormat="false" ht="15" hidden="false" customHeight="false" outlineLevel="0" collapsed="false">
      <c r="A6" s="0" t="s">
        <v>61</v>
      </c>
      <c r="B6" s="11" t="n">
        <f aca="false">Assumptions!B8</f>
        <v>100</v>
      </c>
      <c r="D6" s="2"/>
      <c r="E6" s="2"/>
      <c r="F6" s="2"/>
      <c r="G6" s="2"/>
      <c r="H6" s="2"/>
    </row>
    <row r="7" customFormat="false" ht="15" hidden="false" customHeight="false" outlineLevel="0" collapsed="false">
      <c r="A7" s="0" t="s">
        <v>62</v>
      </c>
      <c r="B7" s="11" t="n">
        <f aca="false">Assumptions!B9</f>
        <v>20</v>
      </c>
      <c r="D7" s="2"/>
      <c r="E7" s="2"/>
      <c r="F7" s="2"/>
      <c r="G7" s="2"/>
      <c r="H7" s="2"/>
    </row>
    <row r="8" customFormat="false" ht="15" hidden="false" customHeight="false" outlineLevel="0" collapsed="false">
      <c r="A8" s="0" t="s">
        <v>63</v>
      </c>
      <c r="B8" s="11" t="n">
        <f aca="false">Assumptions!B12</f>
        <v>0</v>
      </c>
      <c r="D8" s="2"/>
      <c r="E8" s="2"/>
      <c r="F8" s="2"/>
      <c r="G8" s="2"/>
      <c r="H8" s="2"/>
    </row>
    <row r="9" customFormat="false" ht="15" hidden="false" customHeight="false" outlineLevel="0" collapsed="false">
      <c r="A9" s="0" t="s">
        <v>64</v>
      </c>
      <c r="B9" s="4" t="n">
        <f aca="false">B5+B6-B7+B8</f>
        <v>1280</v>
      </c>
      <c r="D9" s="2"/>
      <c r="E9" s="2"/>
      <c r="F9" s="2"/>
      <c r="G9" s="2"/>
      <c r="H9" s="2"/>
    </row>
    <row r="10" customFormat="false" ht="15" hidden="false" customHeight="false" outlineLevel="0" collapsed="false">
      <c r="A10" s="0" t="s">
        <v>65</v>
      </c>
      <c r="B10" s="11" t="n">
        <f aca="false">Assumptions!B6-Assumptions!B7</f>
        <v>200</v>
      </c>
    </row>
    <row r="11" customFormat="false" ht="15" hidden="false" customHeight="false" outlineLevel="0" collapsed="false">
      <c r="A11" s="0" t="s">
        <v>66</v>
      </c>
      <c r="B11" s="11" t="n">
        <f aca="false">MAX(0,B9)*Assumptions!B16</f>
        <v>6.4</v>
      </c>
    </row>
    <row r="12" customFormat="false" ht="15" hidden="false" customHeight="false" outlineLevel="0" collapsed="false">
      <c r="A12" s="0" t="s">
        <v>67</v>
      </c>
      <c r="B12" s="11" t="n">
        <f aca="false">SUM(B17:B19)*Assumptions!B17</f>
        <v>12</v>
      </c>
    </row>
    <row r="13" customFormat="false" ht="15" hidden="false" customHeight="false" outlineLevel="0" collapsed="false">
      <c r="A13" s="0" t="s">
        <v>68</v>
      </c>
      <c r="B13" s="11" t="n">
        <f aca="false">Assumptions!B15</f>
        <v>20</v>
      </c>
    </row>
    <row r="14" customFormat="false" ht="15" hidden="false" customHeight="false" outlineLevel="0" collapsed="false">
      <c r="A14" s="0" t="s">
        <v>69</v>
      </c>
      <c r="B14" s="4" t="n">
        <f aca="false">SUM(B5:B6,B11:B13)</f>
        <v>1338.4</v>
      </c>
    </row>
    <row r="17" customFormat="false" ht="15" hidden="false" customHeight="false" outlineLevel="0" collapsed="false">
      <c r="A17" s="0" t="s">
        <v>43</v>
      </c>
      <c r="B17" s="11" t="n">
        <f aca="false">B10*Assumptions!D29</f>
        <v>250</v>
      </c>
    </row>
    <row r="18" customFormat="false" ht="15" hidden="false" customHeight="false" outlineLevel="0" collapsed="false">
      <c r="A18" s="0" t="s">
        <v>44</v>
      </c>
      <c r="B18" s="11" t="n">
        <f aca="false">B10*Assumptions!D30</f>
        <v>200</v>
      </c>
    </row>
    <row r="19" customFormat="false" ht="15" hidden="false" customHeight="false" outlineLevel="0" collapsed="false">
      <c r="A19" s="0" t="s">
        <v>45</v>
      </c>
      <c r="B19" s="11" t="n">
        <f aca="false">B10*Assumptions!D31</f>
        <v>150</v>
      </c>
    </row>
    <row r="20" customFormat="false" ht="15" hidden="false" customHeight="false" outlineLevel="0" collapsed="false">
      <c r="A20" s="0" t="s">
        <v>70</v>
      </c>
      <c r="B20" s="4" t="n">
        <f aca="false">B7</f>
        <v>20</v>
      </c>
    </row>
    <row r="21" customFormat="false" ht="15" hidden="false" customHeight="false" outlineLevel="0" collapsed="false">
      <c r="A21" s="0" t="s">
        <v>4</v>
      </c>
      <c r="B21" s="11" t="n">
        <f aca="false">B5*Assumptions!B14</f>
        <v>0</v>
      </c>
    </row>
    <row r="22" customFormat="false" ht="15" hidden="false" customHeight="false" outlineLevel="0" collapsed="false">
      <c r="A22" s="0" t="s">
        <v>2</v>
      </c>
      <c r="B22" s="4" t="n">
        <f aca="false">B14-SUM(B17:B21)</f>
        <v>718.4</v>
      </c>
    </row>
    <row r="23" customFormat="false" ht="15" hidden="false" customHeight="false" outlineLevel="0" collapsed="false">
      <c r="A23" s="0" t="s">
        <v>71</v>
      </c>
      <c r="B23" s="4" t="n">
        <f aca="false">SUM(B17:B22)</f>
        <v>1338.4</v>
      </c>
    </row>
    <row r="24" customFormat="false" ht="15" hidden="false" customHeight="false" outlineLevel="0" collapsed="false">
      <c r="A24" s="0" t="s">
        <v>72</v>
      </c>
      <c r="B24" s="4" t="n">
        <f aca="false">SUM(B21:B22)</f>
        <v>718.4</v>
      </c>
    </row>
    <row r="25" customFormat="false" ht="15" hidden="false" customHeight="false" outlineLevel="0" collapsed="false">
      <c r="A25" s="0" t="s">
        <v>73</v>
      </c>
      <c r="B25" s="6" t="n">
        <f aca="false">B22/B24</f>
        <v>1</v>
      </c>
    </row>
  </sheetData>
  <mergeCells count="2">
    <mergeCell ref="A2:H2"/>
    <mergeCell ref="D5:H9"/>
  </mergeCells>
  <printOptions headings="false" gridLines="false" gridLinesSet="true" horizontalCentered="false" verticalCentered="false"/>
  <pageMargins left="0.7" right="0.7" top="0.75" bottom="0.75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&amp;LProspektLab · lbo-1.0&amp;RPage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3.71"/>
    <col collapsed="false" customWidth="true" hidden="false" outlineLevel="0" max="8" min="2" style="0" width="19.71"/>
  </cols>
  <sheetData>
    <row r="1" customFormat="false" ht="23.25" hidden="false" customHeight="false" outlineLevel="0" collapsed="false">
      <c r="A1" s="1" t="s">
        <v>74</v>
      </c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C4" s="3" t="s">
        <v>75</v>
      </c>
      <c r="D4" s="3" t="n">
        <v>1</v>
      </c>
      <c r="E4" s="3" t="n">
        <v>2</v>
      </c>
      <c r="F4" s="3" t="n">
        <v>3</v>
      </c>
      <c r="G4" s="3" t="n">
        <v>4</v>
      </c>
      <c r="H4" s="3" t="n">
        <v>5</v>
      </c>
    </row>
    <row r="6" customFormat="false" ht="15" hidden="false" customHeight="false" outlineLevel="0" collapsed="false">
      <c r="A6" s="12" t="s">
        <v>14</v>
      </c>
      <c r="C6" s="11" t="n">
        <f aca="false">Assumptions!B5</f>
        <v>1000</v>
      </c>
      <c r="D6" s="4" t="n">
        <f aca="false">C6*(1+Assumptions!D37)</f>
        <v>1070</v>
      </c>
      <c r="E6" s="4" t="n">
        <f aca="false">D6*(1+Assumptions!E37)</f>
        <v>1144.9</v>
      </c>
      <c r="F6" s="4" t="n">
        <f aca="false">E6*(1+Assumptions!F37)</f>
        <v>1225.043</v>
      </c>
      <c r="G6" s="4" t="n">
        <f aca="false">F6*(1+Assumptions!G37)</f>
        <v>1310.79601</v>
      </c>
      <c r="H6" s="4" t="n">
        <f aca="false">G6*(1+Assumptions!H37)</f>
        <v>1402.5517307</v>
      </c>
    </row>
    <row r="7" customFormat="false" ht="15" hidden="false" customHeight="false" outlineLevel="0" collapsed="false">
      <c r="A7" s="12" t="s">
        <v>65</v>
      </c>
      <c r="C7" s="11" t="n">
        <f aca="false">Transaction!B10</f>
        <v>200</v>
      </c>
      <c r="D7" s="4" t="n">
        <f aca="false">D6*Assumptions!D38</f>
        <v>214</v>
      </c>
      <c r="E7" s="4" t="n">
        <f aca="false">E6*Assumptions!E38</f>
        <v>228.98</v>
      </c>
      <c r="F7" s="4" t="n">
        <f aca="false">F6*Assumptions!F38</f>
        <v>245.0086</v>
      </c>
      <c r="G7" s="4" t="n">
        <f aca="false">G6*Assumptions!G38</f>
        <v>262.159202</v>
      </c>
      <c r="H7" s="4" t="n">
        <f aca="false">H6*Assumptions!H38</f>
        <v>280.51034614</v>
      </c>
    </row>
    <row r="8" customFormat="false" ht="15" hidden="false" customHeight="false" outlineLevel="0" collapsed="false">
      <c r="A8" s="12" t="s">
        <v>76</v>
      </c>
      <c r="D8" s="4" t="n">
        <f aca="false">D6*Assumptions!D39</f>
        <v>42.8</v>
      </c>
      <c r="E8" s="4" t="n">
        <f aca="false">E6*Assumptions!E39</f>
        <v>45.796</v>
      </c>
      <c r="F8" s="4" t="n">
        <f aca="false">F6*Assumptions!F39</f>
        <v>49.00172</v>
      </c>
      <c r="G8" s="4" t="n">
        <f aca="false">G6*Assumptions!G39</f>
        <v>52.4318404</v>
      </c>
      <c r="H8" s="4" t="n">
        <f aca="false">H6*Assumptions!H39</f>
        <v>56.102069228</v>
      </c>
    </row>
    <row r="9" customFormat="false" ht="15" hidden="false" customHeight="false" outlineLevel="0" collapsed="false">
      <c r="A9" s="12" t="s">
        <v>77</v>
      </c>
      <c r="D9" s="4" t="n">
        <f aca="false">D6*Assumptions!D40</f>
        <v>53.5</v>
      </c>
      <c r="E9" s="4" t="n">
        <f aca="false">E6*Assumptions!E40</f>
        <v>57.245</v>
      </c>
      <c r="F9" s="4" t="n">
        <f aca="false">F6*Assumptions!F40</f>
        <v>61.25215</v>
      </c>
      <c r="G9" s="4" t="n">
        <f aca="false">G6*Assumptions!G40</f>
        <v>65.5398005</v>
      </c>
      <c r="H9" s="4" t="n">
        <f aca="false">H6*Assumptions!H40</f>
        <v>70.127586535</v>
      </c>
    </row>
    <row r="10" customFormat="false" ht="15" hidden="false" customHeight="false" outlineLevel="0" collapsed="false">
      <c r="A10" s="12" t="s">
        <v>78</v>
      </c>
      <c r="D10" s="4" t="n">
        <f aca="false">(D6-C6)*Assumptions!D41</f>
        <v>2.1</v>
      </c>
      <c r="E10" s="4" t="n">
        <f aca="false">(E6-D6)*Assumptions!E41</f>
        <v>2.247</v>
      </c>
      <c r="F10" s="4" t="n">
        <f aca="false">(F6-E6)*Assumptions!F41</f>
        <v>2.40429</v>
      </c>
      <c r="G10" s="4" t="n">
        <f aca="false">(G6-F6)*Assumptions!G41</f>
        <v>2.5725903</v>
      </c>
      <c r="H10" s="4" t="n">
        <f aca="false">(H6-G6)*Assumptions!H41</f>
        <v>2.752671621</v>
      </c>
    </row>
    <row r="11" customFormat="false" ht="15" hidden="false" customHeight="false" outlineLevel="0" collapsed="false">
      <c r="A11" s="12" t="s">
        <v>79</v>
      </c>
      <c r="D11" s="4" t="n">
        <f aca="false">D46*Assumptions!$B$19</f>
        <v>0.6</v>
      </c>
      <c r="E11" s="4" t="n">
        <f aca="false">E46*Assumptions!$B$19</f>
        <v>0.6</v>
      </c>
      <c r="F11" s="4" t="n">
        <f aca="false">F46*Assumptions!$B$19</f>
        <v>0.6</v>
      </c>
      <c r="G11" s="4" t="n">
        <f aca="false">G46*Assumptions!$B$19</f>
        <v>0.6</v>
      </c>
      <c r="H11" s="4" t="n">
        <f aca="false">H46*Assumptions!$B$19</f>
        <v>0.6</v>
      </c>
    </row>
    <row r="12" customFormat="false" ht="15" hidden="false" customHeight="false" outlineLevel="0" collapsed="false">
      <c r="A12" s="12" t="s">
        <v>80</v>
      </c>
      <c r="D12" s="4" t="n">
        <f aca="false">IF(D$4&lt;=Assumptions!$B$25,Transaction!$B$12/Assumptions!$B$25,0)</f>
        <v>1.71428571428571</v>
      </c>
      <c r="E12" s="4" t="n">
        <f aca="false">IF(E$4&lt;=Assumptions!$B$25,Transaction!$B$12/Assumptions!$B$25,0)</f>
        <v>1.71428571428571</v>
      </c>
      <c r="F12" s="4" t="n">
        <f aca="false">IF(F$4&lt;=Assumptions!$B$25,Transaction!$B$12/Assumptions!$B$25,0)</f>
        <v>1.71428571428571</v>
      </c>
      <c r="G12" s="4" t="n">
        <f aca="false">IF(G$4&lt;=Assumptions!$B$25,Transaction!$B$12/Assumptions!$B$25,0)</f>
        <v>1.71428571428571</v>
      </c>
      <c r="H12" s="4" t="n">
        <f aca="false">IF(H$4&lt;=Assumptions!$B$25,Transaction!$B$12/Assumptions!$B$25,0)</f>
        <v>1.71428571428571</v>
      </c>
    </row>
    <row r="13" customFormat="false" ht="15" hidden="false" customHeight="false" outlineLevel="0" collapsed="false">
      <c r="A13" s="12" t="s">
        <v>81</v>
      </c>
      <c r="D13" s="4" t="n">
        <f aca="false">D24*Assumptions!$E$29+D29*Assumptions!$E$30+D34*Assumptions!$E$31+D39*Assumptions!$B$21</f>
        <v>56</v>
      </c>
      <c r="E13" s="4" t="n">
        <f aca="false">E24*Assumptions!$E$29+E29*Assumptions!$E$30+E34*Assumptions!$E$31+E39*Assumptions!$B$21</f>
        <v>49.6493214285714</v>
      </c>
      <c r="F13" s="4" t="n">
        <f aca="false">F24*Assumptions!$E$29+F29*Assumptions!$E$30+F34*Assumptions!$E$31+F39*Assumptions!$B$21</f>
        <v>42.2059670982143</v>
      </c>
      <c r="G13" s="4" t="n">
        <f aca="false">G24*Assumptions!$E$29+G29*Assumptions!$E$30+G34*Assumptions!$E$31+G39*Assumptions!$B$21</f>
        <v>33.4782646503906</v>
      </c>
      <c r="H13" s="4" t="n">
        <f aca="false">H24*Assumptions!$E$29+H29*Assumptions!$E$30+H34*Assumptions!$E$31+H39*Assumptions!$B$21</f>
        <v>22.3267044950167</v>
      </c>
    </row>
    <row r="14" customFormat="false" ht="15" hidden="false" customHeight="false" outlineLevel="0" collapsed="false">
      <c r="A14" s="12" t="s">
        <v>82</v>
      </c>
      <c r="D14" s="4" t="n">
        <f aca="false">D7-D8-D13+D11-D12</f>
        <v>114.085714285714</v>
      </c>
      <c r="E14" s="4" t="n">
        <f aca="false">E7-E8-E13+E11-E12</f>
        <v>132.420392857143</v>
      </c>
      <c r="F14" s="4" t="n">
        <f aca="false">F7-F8-F13+F11-F12</f>
        <v>152.6866271875</v>
      </c>
      <c r="G14" s="4" t="n">
        <f aca="false">G7-G8-G13+G11-G12</f>
        <v>175.134811235324</v>
      </c>
      <c r="H14" s="4" t="n">
        <f aca="false">H7-H8-H13+H11-H12</f>
        <v>200.967286702698</v>
      </c>
    </row>
    <row r="15" customFormat="false" ht="15" hidden="false" customHeight="false" outlineLevel="0" collapsed="false">
      <c r="A15" s="12" t="s">
        <v>83</v>
      </c>
      <c r="D15" s="4" t="n">
        <f aca="false">D7-D13+D11-MAX(0,D14)*Assumptions!$B$18-D9-D10-Assumptions!D42</f>
        <v>74.4785714285714</v>
      </c>
      <c r="E15" s="4" t="n">
        <f aca="false">E7-E13+E11-MAX(0,E14)*Assumptions!$B$18-E9-E10-Assumptions!E42</f>
        <v>87.3335803571429</v>
      </c>
      <c r="F15" s="4" t="n">
        <f aca="false">F7-F13+F11-MAX(0,F14)*Assumptions!$B$18-F9-F10-Assumptions!F42</f>
        <v>101.574536104911</v>
      </c>
      <c r="G15" s="4" t="n">
        <f aca="false">G7-G13+G11-MAX(0,G14)*Assumptions!$B$18-G9-G10-Assumptions!G42</f>
        <v>117.384843740778</v>
      </c>
      <c r="H15" s="4" t="n">
        <f aca="false">H7-H13+H11-MAX(0,H14)*Assumptions!$B$18-H9-H10-Assumptions!H42</f>
        <v>135.661561813309</v>
      </c>
    </row>
    <row r="16" customFormat="false" ht="15" hidden="false" customHeight="false" outlineLevel="0" collapsed="false">
      <c r="A16" s="12" t="s">
        <v>84</v>
      </c>
      <c r="D16" s="4" t="n">
        <f aca="false">SUM(D25,D30,D35)</f>
        <v>14.5</v>
      </c>
      <c r="E16" s="4" t="n">
        <f aca="false">SUM(E25,E30,E35)</f>
        <v>14.5</v>
      </c>
      <c r="F16" s="4" t="n">
        <f aca="false">SUM(F25,F30,F35)</f>
        <v>14.5</v>
      </c>
      <c r="G16" s="4" t="n">
        <f aca="false">SUM(G25,G30,G35)</f>
        <v>2</v>
      </c>
      <c r="H16" s="4" t="n">
        <f aca="false">SUM(H25,H30,H35)</f>
        <v>2</v>
      </c>
    </row>
    <row r="17" customFormat="false" ht="15" hidden="false" customHeight="false" outlineLevel="0" collapsed="false">
      <c r="A17" s="12" t="s">
        <v>85</v>
      </c>
      <c r="D17" s="4" t="n">
        <f aca="false">MAX(0,Assumptions!$B$15-(D46+D15-D16))</f>
        <v>0</v>
      </c>
      <c r="E17" s="4" t="n">
        <f aca="false">MAX(0,Assumptions!$B$15-(E46+E15-E16))</f>
        <v>0</v>
      </c>
      <c r="F17" s="4" t="n">
        <f aca="false">MAX(0,Assumptions!$B$15-(F46+F15-F16))</f>
        <v>0</v>
      </c>
      <c r="G17" s="4" t="n">
        <f aca="false">MAX(0,Assumptions!$B$15-(G46+G15-G16))</f>
        <v>0</v>
      </c>
      <c r="H17" s="4" t="n">
        <f aca="false">MAX(0,Assumptions!$B$15-(H46+H15-H16))</f>
        <v>0</v>
      </c>
    </row>
    <row r="18" customFormat="false" ht="15" hidden="false" customHeight="false" outlineLevel="0" collapsed="false">
      <c r="A18" s="12" t="s">
        <v>86</v>
      </c>
      <c r="D18" s="4" t="n">
        <f aca="false">IF(AND(D14&gt;=0,Assumptions!$B$21/2*(D17/(1-Assumptions!$B$21/2*(1-Assumptions!$B$18)))&lt;=D14),D17/(1-Assumptions!$B$21/2*(1-Assumptions!$B$18)),(D17-MAX(0,D14)*Assumptions!$B$18)/(1-Assumptions!$B$21/2))</f>
        <v>0</v>
      </c>
      <c r="E18" s="4" t="n">
        <f aca="false">IF(AND(E14&gt;=0,Assumptions!$B$21/2*(E17/(1-Assumptions!$B$21/2*(1-Assumptions!$B$18)))&lt;=E14),E17/(1-Assumptions!$B$21/2*(1-Assumptions!$B$18)),(E17-MAX(0,E14)*Assumptions!$B$18)/(1-Assumptions!$B$21/2))</f>
        <v>0</v>
      </c>
      <c r="F18" s="4" t="n">
        <f aca="false">IF(AND(F14&gt;=0,Assumptions!$B$21/2*(F17/(1-Assumptions!$B$21/2*(1-Assumptions!$B$18)))&lt;=F14),F17/(1-Assumptions!$B$21/2*(1-Assumptions!$B$18)),(F17-MAX(0,F14)*Assumptions!$B$18)/(1-Assumptions!$B$21/2))</f>
        <v>0</v>
      </c>
      <c r="G18" s="4" t="n">
        <f aca="false">IF(AND(G14&gt;=0,Assumptions!$B$21/2*(G17/(1-Assumptions!$B$21/2*(1-Assumptions!$B$18)))&lt;=G14),G17/(1-Assumptions!$B$21/2*(1-Assumptions!$B$18)),(G17-MAX(0,G14)*Assumptions!$B$18)/(1-Assumptions!$B$21/2))</f>
        <v>0</v>
      </c>
      <c r="H18" s="4" t="n">
        <f aca="false">IF(AND(H14&gt;=0,Assumptions!$B$21/2*(H17/(1-Assumptions!$B$21/2*(1-Assumptions!$B$18)))&lt;=H14),H17/(1-Assumptions!$B$21/2*(1-Assumptions!$B$18)),(H17-MAX(0,H14)*Assumptions!$B$18)/(1-Assumptions!$B$21/2))</f>
        <v>0</v>
      </c>
    </row>
    <row r="19" customFormat="false" ht="15" hidden="false" customHeight="false" outlineLevel="0" collapsed="false">
      <c r="A19" s="12" t="s">
        <v>87</v>
      </c>
      <c r="D19" s="4" t="n">
        <f aca="false">MIN(MAX(0,D18),MAX(0,Assumptions!$B$20-D39))</f>
        <v>0</v>
      </c>
      <c r="E19" s="4" t="n">
        <f aca="false">MIN(MAX(0,E18),MAX(0,Assumptions!$B$20-E39))</f>
        <v>0</v>
      </c>
      <c r="F19" s="4" t="n">
        <f aca="false">MIN(MAX(0,F18),MAX(0,Assumptions!$B$20-F39))</f>
        <v>0</v>
      </c>
      <c r="G19" s="4" t="n">
        <f aca="false">MIN(MAX(0,G18),MAX(0,Assumptions!$B$20-G39))</f>
        <v>0</v>
      </c>
      <c r="H19" s="4" t="n">
        <f aca="false">MIN(MAX(0,H18),MAX(0,Assumptions!$B$20-H39))</f>
        <v>0</v>
      </c>
    </row>
    <row r="20" customFormat="false" ht="15" hidden="false" customHeight="false" outlineLevel="0" collapsed="false">
      <c r="A20" s="12" t="s">
        <v>88</v>
      </c>
      <c r="D20" s="4" t="n">
        <f aca="false">D13+D19*Assumptions!$B$21/2</f>
        <v>56</v>
      </c>
      <c r="E20" s="4" t="n">
        <f aca="false">E13+E19*Assumptions!$B$21/2</f>
        <v>49.6493214285714</v>
      </c>
      <c r="F20" s="4" t="n">
        <f aca="false">F13+F19*Assumptions!$B$21/2</f>
        <v>42.2059670982143</v>
      </c>
      <c r="G20" s="4" t="n">
        <f aca="false">G13+G19*Assumptions!$B$21/2</f>
        <v>33.4782646503906</v>
      </c>
      <c r="H20" s="4" t="n">
        <f aca="false">H13+H19*Assumptions!$B$21/2</f>
        <v>22.3267044950167</v>
      </c>
    </row>
    <row r="21" customFormat="false" ht="15" hidden="false" customHeight="false" outlineLevel="0" collapsed="false">
      <c r="A21" s="12" t="s">
        <v>89</v>
      </c>
      <c r="D21" s="4" t="n">
        <f aca="false">MAX(0,D7-D8-D20+D11-D12)*Assumptions!$B$18</f>
        <v>28.5214285714286</v>
      </c>
      <c r="E21" s="4" t="n">
        <f aca="false">MAX(0,E7-E8-E20+E11-E12)*Assumptions!$B$18</f>
        <v>33.1050982142857</v>
      </c>
      <c r="F21" s="4" t="n">
        <f aca="false">MAX(0,F7-F8-F20+F11-F12)*Assumptions!$B$18</f>
        <v>38.171656796875</v>
      </c>
      <c r="G21" s="4" t="n">
        <f aca="false">MAX(0,G7-G8-G20+G11-G12)*Assumptions!$B$18</f>
        <v>43.7837028088309</v>
      </c>
      <c r="H21" s="4" t="n">
        <f aca="false">MAX(0,H7-H8-H20+H11-H12)*Assumptions!$B$18</f>
        <v>50.2418216756744</v>
      </c>
    </row>
    <row r="22" customFormat="false" ht="15" hidden="false" customHeight="false" outlineLevel="0" collapsed="false">
      <c r="A22" s="3" t="s">
        <v>90</v>
      </c>
      <c r="D22" s="4" t="n">
        <f aca="false">D7-D20+D11-D21-D9-D10-Assumptions!D42</f>
        <v>74.4785714285714</v>
      </c>
      <c r="E22" s="4" t="n">
        <f aca="false">E7-E20+E11-E21-E9-E10-Assumptions!E42</f>
        <v>87.3335803571429</v>
      </c>
      <c r="F22" s="4" t="n">
        <f aca="false">F7-F20+F11-F21-F9-F10-Assumptions!F42</f>
        <v>101.574536104911</v>
      </c>
      <c r="G22" s="4" t="n">
        <f aca="false">G7-G20+G11-G21-G9-G10-Assumptions!G42</f>
        <v>117.384843740778</v>
      </c>
      <c r="H22" s="4" t="n">
        <f aca="false">H7-H20+H11-H21-H9-H10-Assumptions!H42</f>
        <v>135.661561813309</v>
      </c>
    </row>
    <row r="24" customFormat="false" ht="15" hidden="false" customHeight="false" outlineLevel="0" collapsed="false">
      <c r="A24" s="12" t="s">
        <v>91</v>
      </c>
      <c r="D24" s="4" t="n">
        <f aca="false">C27</f>
        <v>250</v>
      </c>
      <c r="E24" s="4" t="n">
        <f aca="false">D27</f>
        <v>177.521428571429</v>
      </c>
      <c r="F24" s="4" t="n">
        <f aca="false">E27</f>
        <v>92.1878482142857</v>
      </c>
      <c r="G24" s="4" t="n">
        <f aca="false">F27</f>
        <v>0</v>
      </c>
      <c r="H24" s="4" t="n">
        <f aca="false">G27</f>
        <v>0</v>
      </c>
    </row>
    <row r="25" customFormat="false" ht="15" hidden="false" customHeight="false" outlineLevel="0" collapsed="false">
      <c r="A25" s="12" t="s">
        <v>92</v>
      </c>
      <c r="D25" s="4" t="n">
        <f aca="false">IF(D$4&gt;=Assumptions!$G$29,D24,MIN(D24,Transaction!$B$17*Assumptions!$F$29))</f>
        <v>12.5</v>
      </c>
      <c r="E25" s="4" t="n">
        <f aca="false">IF(E$4&gt;=Assumptions!$G$29,E24,MIN(E24,Transaction!$B$17*Assumptions!$F$29))</f>
        <v>12.5</v>
      </c>
      <c r="F25" s="4" t="n">
        <f aca="false">IF(F$4&gt;=Assumptions!$G$29,F24,MIN(F24,Transaction!$B$17*Assumptions!$F$29))</f>
        <v>12.5</v>
      </c>
      <c r="G25" s="4" t="n">
        <f aca="false">IF(G$4&gt;=Assumptions!$G$29,G24,MIN(G24,Transaction!$B$17*Assumptions!$F$29))</f>
        <v>0</v>
      </c>
      <c r="H25" s="4" t="n">
        <f aca="false">IF(H$4&gt;=Assumptions!$G$29,H24,MIN(H24,Transaction!$B$17*Assumptions!$F$29))</f>
        <v>0</v>
      </c>
    </row>
    <row r="26" customFormat="false" ht="15" hidden="false" customHeight="false" outlineLevel="0" collapsed="false">
      <c r="A26" s="12" t="s">
        <v>93</v>
      </c>
      <c r="D26" s="4" t="n">
        <f aca="false">MIN(D24-D25,D44)</f>
        <v>59.9785714285714</v>
      </c>
      <c r="E26" s="4" t="n">
        <f aca="false">MIN(E24-E25,E44)</f>
        <v>72.8335803571429</v>
      </c>
      <c r="F26" s="4" t="n">
        <f aca="false">MIN(F24-F25,F44)</f>
        <v>79.6878482142857</v>
      </c>
      <c r="G26" s="4" t="n">
        <f aca="false">MIN(G24-G25,G44)</f>
        <v>0</v>
      </c>
      <c r="H26" s="4" t="n">
        <f aca="false">MIN(H24-H25,H44)</f>
        <v>0</v>
      </c>
    </row>
    <row r="27" customFormat="false" ht="15" hidden="false" customHeight="false" outlineLevel="0" collapsed="false">
      <c r="A27" s="3" t="s">
        <v>94</v>
      </c>
      <c r="C27" s="11" t="n">
        <f aca="false">Transaction!B17</f>
        <v>250</v>
      </c>
      <c r="D27" s="4" t="n">
        <f aca="false">D24-D25-D26</f>
        <v>177.521428571429</v>
      </c>
      <c r="E27" s="4" t="n">
        <f aca="false">E24-E25-E26</f>
        <v>92.1878482142857</v>
      </c>
      <c r="F27" s="4" t="n">
        <f aca="false">F24-F25-F26</f>
        <v>0</v>
      </c>
      <c r="G27" s="4" t="n">
        <f aca="false">G24-G25-G26</f>
        <v>0</v>
      </c>
      <c r="H27" s="4" t="n">
        <f aca="false">H24-H25-H26</f>
        <v>0</v>
      </c>
    </row>
    <row r="29" customFormat="false" ht="15" hidden="false" customHeight="false" outlineLevel="0" collapsed="false">
      <c r="A29" s="12" t="s">
        <v>95</v>
      </c>
      <c r="D29" s="4" t="n">
        <f aca="false">C32</f>
        <v>200</v>
      </c>
      <c r="E29" s="4" t="n">
        <f aca="false">D32</f>
        <v>198</v>
      </c>
      <c r="F29" s="4" t="n">
        <f aca="false">E32</f>
        <v>196</v>
      </c>
      <c r="G29" s="4" t="n">
        <f aca="false">F32</f>
        <v>186.613312109375</v>
      </c>
      <c r="H29" s="4" t="n">
        <f aca="false">G32</f>
        <v>69.2284683685965</v>
      </c>
    </row>
    <row r="30" customFormat="false" ht="15" hidden="false" customHeight="false" outlineLevel="0" collapsed="false">
      <c r="A30" s="12" t="s">
        <v>96</v>
      </c>
      <c r="D30" s="4" t="n">
        <f aca="false">IF(D$4&gt;=Assumptions!$G$30,D29,MIN(D29,Transaction!$B$18*Assumptions!$F$30))</f>
        <v>2</v>
      </c>
      <c r="E30" s="4" t="n">
        <f aca="false">IF(E$4&gt;=Assumptions!$G$30,E29,MIN(E29,Transaction!$B$18*Assumptions!$F$30))</f>
        <v>2</v>
      </c>
      <c r="F30" s="4" t="n">
        <f aca="false">IF(F$4&gt;=Assumptions!$G$30,F29,MIN(F29,Transaction!$B$18*Assumptions!$F$30))</f>
        <v>2</v>
      </c>
      <c r="G30" s="4" t="n">
        <f aca="false">IF(G$4&gt;=Assumptions!$G$30,G29,MIN(G29,Transaction!$B$18*Assumptions!$F$30))</f>
        <v>2</v>
      </c>
      <c r="H30" s="4" t="n">
        <f aca="false">IF(H$4&gt;=Assumptions!$G$30,H29,MIN(H29,Transaction!$B$18*Assumptions!$F$30))</f>
        <v>2</v>
      </c>
    </row>
    <row r="31" customFormat="false" ht="15" hidden="false" customHeight="false" outlineLevel="0" collapsed="false">
      <c r="A31" s="12" t="s">
        <v>97</v>
      </c>
      <c r="D31" s="4" t="n">
        <f aca="false">MIN(D29-D30,MAX(0,D44-D26))</f>
        <v>0</v>
      </c>
      <c r="E31" s="4" t="n">
        <f aca="false">MIN(E29-E30,MAX(0,E44-E26))</f>
        <v>0</v>
      </c>
      <c r="F31" s="4" t="n">
        <f aca="false">MIN(F29-F30,MAX(0,F44-F26))</f>
        <v>7.386687890625</v>
      </c>
      <c r="G31" s="4" t="n">
        <f aca="false">MIN(G29-G30,MAX(0,G44-G26))</f>
        <v>115.384843740778</v>
      </c>
      <c r="H31" s="4" t="n">
        <f aca="false">MIN(H29-H30,MAX(0,H44-H26))</f>
        <v>67.2284683685965</v>
      </c>
    </row>
    <row r="32" customFormat="false" ht="15" hidden="false" customHeight="false" outlineLevel="0" collapsed="false">
      <c r="A32" s="3" t="s">
        <v>98</v>
      </c>
      <c r="C32" s="11" t="n">
        <f aca="false">Transaction!B18</f>
        <v>200</v>
      </c>
      <c r="D32" s="4" t="n">
        <f aca="false">D29-D30-D31</f>
        <v>198</v>
      </c>
      <c r="E32" s="4" t="n">
        <f aca="false">E29-E30-E31</f>
        <v>196</v>
      </c>
      <c r="F32" s="4" t="n">
        <f aca="false">F29-F30-F31</f>
        <v>186.613312109375</v>
      </c>
      <c r="G32" s="4" t="n">
        <f aca="false">G29-G30-G31</f>
        <v>69.2284683685965</v>
      </c>
      <c r="H32" s="4" t="n">
        <f aca="false">H29-H30-H31</f>
        <v>0</v>
      </c>
    </row>
    <row r="34" customFormat="false" ht="15" hidden="false" customHeight="false" outlineLevel="0" collapsed="false">
      <c r="A34" s="12" t="s">
        <v>99</v>
      </c>
      <c r="D34" s="4" t="n">
        <f aca="false">C37</f>
        <v>150</v>
      </c>
      <c r="E34" s="4" t="n">
        <f aca="false">D37</f>
        <v>150</v>
      </c>
      <c r="F34" s="4" t="n">
        <f aca="false">E37</f>
        <v>150</v>
      </c>
      <c r="G34" s="4" t="n">
        <f aca="false">F37</f>
        <v>150</v>
      </c>
      <c r="H34" s="4" t="n">
        <f aca="false">G37</f>
        <v>150</v>
      </c>
    </row>
    <row r="35" customFormat="false" ht="15" hidden="false" customHeight="false" outlineLevel="0" collapsed="false">
      <c r="A35" s="12" t="s">
        <v>100</v>
      </c>
      <c r="D35" s="4" t="n">
        <f aca="false">IF(D$4&gt;=Assumptions!$G$31,D34,MIN(D34,Transaction!$B$19*Assumptions!$F$31))</f>
        <v>0</v>
      </c>
      <c r="E35" s="4" t="n">
        <f aca="false">IF(E$4&gt;=Assumptions!$G$31,E34,MIN(E34,Transaction!$B$19*Assumptions!$F$31))</f>
        <v>0</v>
      </c>
      <c r="F35" s="4" t="n">
        <f aca="false">IF(F$4&gt;=Assumptions!$G$31,F34,MIN(F34,Transaction!$B$19*Assumptions!$F$31))</f>
        <v>0</v>
      </c>
      <c r="G35" s="4" t="n">
        <f aca="false">IF(G$4&gt;=Assumptions!$G$31,G34,MIN(G34,Transaction!$B$19*Assumptions!$F$31))</f>
        <v>0</v>
      </c>
      <c r="H35" s="4" t="n">
        <f aca="false">IF(H$4&gt;=Assumptions!$G$31,H34,MIN(H34,Transaction!$B$19*Assumptions!$F$31))</f>
        <v>0</v>
      </c>
    </row>
    <row r="36" customFormat="false" ht="15" hidden="false" customHeight="false" outlineLevel="0" collapsed="false">
      <c r="A36" s="12" t="s">
        <v>101</v>
      </c>
      <c r="D36" s="4" t="n">
        <f aca="false">0</f>
        <v>0</v>
      </c>
      <c r="E36" s="4" t="n">
        <f aca="false">0</f>
        <v>0</v>
      </c>
      <c r="F36" s="4" t="n">
        <f aca="false">0</f>
        <v>0</v>
      </c>
      <c r="G36" s="4" t="n">
        <f aca="false">0</f>
        <v>0</v>
      </c>
      <c r="H36" s="4" t="n">
        <f aca="false">0</f>
        <v>0</v>
      </c>
    </row>
    <row r="37" customFormat="false" ht="15" hidden="false" customHeight="false" outlineLevel="0" collapsed="false">
      <c r="A37" s="3" t="s">
        <v>102</v>
      </c>
      <c r="C37" s="11" t="n">
        <f aca="false">Transaction!B19</f>
        <v>150</v>
      </c>
      <c r="D37" s="4" t="n">
        <f aca="false">D34-D35-D36</f>
        <v>150</v>
      </c>
      <c r="E37" s="4" t="n">
        <f aca="false">E34-E35-E36</f>
        <v>150</v>
      </c>
      <c r="F37" s="4" t="n">
        <f aca="false">F34-F35-F36</f>
        <v>150</v>
      </c>
      <c r="G37" s="4" t="n">
        <f aca="false">G34-G35-G36</f>
        <v>150</v>
      </c>
      <c r="H37" s="4" t="n">
        <f aca="false">H34-H35-H36</f>
        <v>150</v>
      </c>
    </row>
    <row r="39" customFormat="false" ht="15" hidden="false" customHeight="false" outlineLevel="0" collapsed="false">
      <c r="A39" s="12" t="s">
        <v>103</v>
      </c>
      <c r="D39" s="4" t="n">
        <f aca="false">C41</f>
        <v>0</v>
      </c>
      <c r="E39" s="4" t="n">
        <f aca="false">D41</f>
        <v>0</v>
      </c>
      <c r="F39" s="4" t="n">
        <f aca="false">E41</f>
        <v>0</v>
      </c>
      <c r="G39" s="4" t="n">
        <f aca="false">F41</f>
        <v>0</v>
      </c>
      <c r="H39" s="4" t="n">
        <f aca="false">G41</f>
        <v>0</v>
      </c>
    </row>
    <row r="40" customFormat="false" ht="15" hidden="false" customHeight="false" outlineLevel="0" collapsed="false">
      <c r="A40" s="12" t="s">
        <v>104</v>
      </c>
      <c r="D40" s="4" t="n">
        <f aca="false">MIN(D39,MAX(0,D43-Assumptions!$B$15))</f>
        <v>0</v>
      </c>
      <c r="E40" s="4" t="n">
        <f aca="false">MIN(E39,MAX(0,E43-Assumptions!$B$15))</f>
        <v>0</v>
      </c>
      <c r="F40" s="4" t="n">
        <f aca="false">MIN(F39,MAX(0,F43-Assumptions!$B$15))</f>
        <v>0</v>
      </c>
      <c r="G40" s="4" t="n">
        <f aca="false">MIN(G39,MAX(0,G43-Assumptions!$B$15))</f>
        <v>0</v>
      </c>
      <c r="H40" s="4" t="n">
        <f aca="false">MIN(H39,MAX(0,H43-Assumptions!$B$15))</f>
        <v>0</v>
      </c>
    </row>
    <row r="41" customFormat="false" ht="15" hidden="false" customHeight="false" outlineLevel="0" collapsed="false">
      <c r="A41" s="3" t="s">
        <v>105</v>
      </c>
      <c r="C41" s="11" t="n">
        <f aca="false">0</f>
        <v>0</v>
      </c>
      <c r="D41" s="4" t="n">
        <f aca="false">D39+D19-D40</f>
        <v>0</v>
      </c>
      <c r="E41" s="4" t="n">
        <f aca="false">E39+E19-E40</f>
        <v>0</v>
      </c>
      <c r="F41" s="4" t="n">
        <f aca="false">F39+F19-F40</f>
        <v>0</v>
      </c>
      <c r="G41" s="4" t="n">
        <f aca="false">G39+G19-G40</f>
        <v>0</v>
      </c>
      <c r="H41" s="4" t="n">
        <f aca="false">H39+H19-H40</f>
        <v>0</v>
      </c>
    </row>
    <row r="43" customFormat="false" ht="15" hidden="false" customHeight="false" outlineLevel="0" collapsed="false">
      <c r="A43" s="12" t="s">
        <v>106</v>
      </c>
      <c r="D43" s="4" t="n">
        <f aca="false">D46+D22+D19-D16</f>
        <v>79.9785714285714</v>
      </c>
      <c r="E43" s="4" t="n">
        <f aca="false">E46+E22+E19-E16</f>
        <v>92.8335803571429</v>
      </c>
      <c r="F43" s="4" t="n">
        <f aca="false">F46+F22+F19-F16</f>
        <v>107.074536104911</v>
      </c>
      <c r="G43" s="4" t="n">
        <f aca="false">G46+G22+G19-G16</f>
        <v>135.384843740778</v>
      </c>
      <c r="H43" s="4" t="n">
        <f aca="false">H46+H22+H19-H16</f>
        <v>153.661561813309</v>
      </c>
    </row>
    <row r="44" customFormat="false" ht="15" hidden="false" customHeight="false" outlineLevel="0" collapsed="false">
      <c r="A44" s="12" t="s">
        <v>107</v>
      </c>
      <c r="D44" s="4" t="n">
        <f aca="false">MAX(0,D43-D40-Assumptions!$B$15)*Assumptions!$B$22</f>
        <v>59.9785714285714</v>
      </c>
      <c r="E44" s="4" t="n">
        <f aca="false">MAX(0,E43-E40-Assumptions!$B$15)*Assumptions!$B$22</f>
        <v>72.8335803571429</v>
      </c>
      <c r="F44" s="4" t="n">
        <f aca="false">MAX(0,F43-F40-Assumptions!$B$15)*Assumptions!$B$22</f>
        <v>87.0745361049107</v>
      </c>
      <c r="G44" s="4" t="n">
        <f aca="false">MAX(0,G43-G40-Assumptions!$B$15)*Assumptions!$B$22</f>
        <v>115.384843740778</v>
      </c>
      <c r="H44" s="4" t="n">
        <f aca="false">MAX(0,H43-H40-Assumptions!$B$15)*Assumptions!$B$22</f>
        <v>133.661561813309</v>
      </c>
    </row>
    <row r="46" customFormat="false" ht="15" hidden="false" customHeight="false" outlineLevel="0" collapsed="false">
      <c r="A46" s="12" t="s">
        <v>108</v>
      </c>
      <c r="D46" s="4" t="n">
        <f aca="false">C47</f>
        <v>20</v>
      </c>
      <c r="E46" s="4" t="n">
        <f aca="false">D47</f>
        <v>20</v>
      </c>
      <c r="F46" s="4" t="n">
        <f aca="false">E47</f>
        <v>20</v>
      </c>
      <c r="G46" s="4" t="n">
        <f aca="false">F47</f>
        <v>20</v>
      </c>
      <c r="H46" s="4" t="n">
        <f aca="false">G47</f>
        <v>20</v>
      </c>
    </row>
    <row r="47" customFormat="false" ht="15" hidden="false" customHeight="false" outlineLevel="0" collapsed="false">
      <c r="A47" s="3" t="s">
        <v>109</v>
      </c>
      <c r="C47" s="11" t="n">
        <f aca="false">Assumptions!B15</f>
        <v>20</v>
      </c>
      <c r="D47" s="4" t="n">
        <f aca="false">D43-D40-SUM(D26,D31,D36)</f>
        <v>20</v>
      </c>
      <c r="E47" s="4" t="n">
        <f aca="false">E43-E40-SUM(E26,E31,E36)</f>
        <v>20</v>
      </c>
      <c r="F47" s="4" t="n">
        <f aca="false">F43-F40-SUM(F26,F31,F36)</f>
        <v>20</v>
      </c>
      <c r="G47" s="4" t="n">
        <f aca="false">G43-G40-SUM(G26,G31,G36)</f>
        <v>20</v>
      </c>
      <c r="H47" s="4" t="n">
        <f aca="false">H43-H40-SUM(H26,H31,H36)</f>
        <v>86.4330934447124</v>
      </c>
    </row>
    <row r="48" customFormat="false" ht="15" hidden="false" customHeight="false" outlineLevel="0" collapsed="false">
      <c r="A48" s="12" t="s">
        <v>110</v>
      </c>
      <c r="D48" s="4" t="n">
        <f aca="false">MAX(0,Assumptions!$B$15-D47)</f>
        <v>0</v>
      </c>
      <c r="E48" s="4" t="n">
        <f aca="false">MAX(0,Assumptions!$B$15-E47)</f>
        <v>0</v>
      </c>
      <c r="F48" s="4" t="n">
        <f aca="false">MAX(0,Assumptions!$B$15-F47)</f>
        <v>0</v>
      </c>
      <c r="G48" s="4" t="n">
        <f aca="false">MAX(0,Assumptions!$B$15-G47)</f>
        <v>0</v>
      </c>
      <c r="H48" s="4" t="n">
        <f aca="false">MAX(0,Assumptions!$B$15-H47)</f>
        <v>0</v>
      </c>
    </row>
    <row r="49" customFormat="false" ht="15" hidden="false" customHeight="false" outlineLevel="0" collapsed="false">
      <c r="A49" s="3" t="s">
        <v>111</v>
      </c>
      <c r="C49" s="11" t="n">
        <f aca="false">SUM(Transaction!B17:B19)</f>
        <v>600</v>
      </c>
      <c r="D49" s="4" t="n">
        <f aca="false">SUM(D27,D32,D37,D41)</f>
        <v>525.521428571429</v>
      </c>
      <c r="E49" s="4" t="n">
        <f aca="false">SUM(E27,E32,E37,E41)</f>
        <v>438.187848214286</v>
      </c>
      <c r="F49" s="4" t="n">
        <f aca="false">SUM(F27,F32,F37,F41)</f>
        <v>336.613312109375</v>
      </c>
      <c r="G49" s="4" t="n">
        <f aca="false">SUM(G27,G32,G37,G41)</f>
        <v>219.228468368597</v>
      </c>
      <c r="H49" s="4" t="n">
        <f aca="false">SUM(H27,H32,H37,H41)</f>
        <v>150</v>
      </c>
    </row>
    <row r="50" customFormat="false" ht="15" hidden="false" customHeight="false" outlineLevel="0" collapsed="false">
      <c r="A50" s="12" t="s">
        <v>112</v>
      </c>
      <c r="D50" s="4" t="n">
        <f aca="false">D49-D47</f>
        <v>505.521428571429</v>
      </c>
      <c r="E50" s="4" t="n">
        <f aca="false">E49-E47</f>
        <v>418.187848214286</v>
      </c>
      <c r="F50" s="4" t="n">
        <f aca="false">F49-F47</f>
        <v>316.613312109375</v>
      </c>
      <c r="G50" s="4" t="n">
        <f aca="false">G49-G47</f>
        <v>199.228468368597</v>
      </c>
      <c r="H50" s="4" t="n">
        <f aca="false">H49-H47</f>
        <v>63.5669065552876</v>
      </c>
    </row>
    <row r="51" customFormat="false" ht="15" hidden="false" customHeight="false" outlineLevel="0" collapsed="false">
      <c r="A51" s="12" t="s">
        <v>113</v>
      </c>
      <c r="D51" s="5" t="n">
        <f aca="false">IF(D20=0,"n.a.",D7/D20)</f>
        <v>3.82142857142857</v>
      </c>
      <c r="E51" s="5" t="n">
        <f aca="false">IF(E20=0,"n.a.",E7/E20)</f>
        <v>4.61194621419801</v>
      </c>
      <c r="F51" s="5" t="n">
        <f aca="false">IF(F20=0,"n.a.",F7/F20)</f>
        <v>5.80507015583506</v>
      </c>
      <c r="G51" s="5" t="n">
        <f aca="false">IF(G20=0,"n.a.",G7/G20)</f>
        <v>7.8307285260361</v>
      </c>
      <c r="H51" s="5" t="n">
        <f aca="false">IF(H20=0,"n.a.",H7/H20)</f>
        <v>12.5638938878154</v>
      </c>
    </row>
    <row r="52" customFormat="false" ht="15" hidden="false" customHeight="false" outlineLevel="0" collapsed="false">
      <c r="A52" s="12" t="s">
        <v>57</v>
      </c>
      <c r="D52" s="4" t="n">
        <f aca="false">Assumptions!D43</f>
        <v>0</v>
      </c>
      <c r="E52" s="4" t="n">
        <f aca="false">Assumptions!E43</f>
        <v>0</v>
      </c>
      <c r="F52" s="4" t="n">
        <f aca="false">Assumptions!F43</f>
        <v>0</v>
      </c>
      <c r="G52" s="4" t="n">
        <f aca="false">Assumptions!G43</f>
        <v>0</v>
      </c>
      <c r="H52" s="4" t="n">
        <f aca="false">Assumptions!H43</f>
        <v>0</v>
      </c>
    </row>
    <row r="54" customFormat="false" ht="15" hidden="false" customHeight="false" outlineLevel="0" collapsed="false">
      <c r="A54" s="12" t="s">
        <v>114</v>
      </c>
      <c r="D54" s="4" t="n">
        <f aca="false">D7*Assumptions!$B$23</f>
        <v>2354</v>
      </c>
      <c r="E54" s="4" t="n">
        <f aca="false">E7*Assumptions!$B$23</f>
        <v>2518.78</v>
      </c>
      <c r="F54" s="4" t="n">
        <f aca="false">F7*Assumptions!$B$23</f>
        <v>2695.0946</v>
      </c>
      <c r="G54" s="4" t="n">
        <f aca="false">G7*Assumptions!$B$23</f>
        <v>2883.751222</v>
      </c>
      <c r="H54" s="4" t="n">
        <f aca="false">H7*Assumptions!$B$23</f>
        <v>3085.61380754</v>
      </c>
    </row>
    <row r="55" customFormat="false" ht="15" hidden="false" customHeight="false" outlineLevel="0" collapsed="false">
      <c r="A55" s="3" t="s">
        <v>8</v>
      </c>
      <c r="D55" s="4" t="n">
        <f aca="false">IF(SUM($D48:D48)&gt;0.000001,"n.a.",MAX(0,D54-D50-D52))</f>
        <v>1848.47857142857</v>
      </c>
      <c r="E55" s="4" t="n">
        <f aca="false">IF(SUM($D48:E48)&gt;0.000001,"n.a.",MAX(0,E54-E50-E52))</f>
        <v>2100.59215178571</v>
      </c>
      <c r="F55" s="4" t="n">
        <f aca="false">IF(SUM($D48:F48)&gt;0.000001,"n.a.",MAX(0,F54-F50-F52))</f>
        <v>2378.48128789063</v>
      </c>
      <c r="G55" s="4" t="n">
        <f aca="false">IF(SUM($D48:G48)&gt;0.000001,"n.a.",MAX(0,G54-G50-G52))</f>
        <v>2684.5227536314</v>
      </c>
      <c r="H55" s="4" t="n">
        <f aca="false">IF(SUM($D48:H48)&gt;0.000001,"n.a.",MAX(0,H54-H50-H52))</f>
        <v>3022.04690098471</v>
      </c>
    </row>
    <row r="56" customFormat="false" ht="15" hidden="false" customHeight="false" outlineLevel="0" collapsed="false">
      <c r="A56" s="3" t="s">
        <v>9</v>
      </c>
      <c r="D56" s="5" t="n">
        <f aca="false">IF(ISNUMBER(D55),D55/Transaction!$B$24,"n.a.")</f>
        <v>2.57304923639835</v>
      </c>
      <c r="E56" s="5" t="n">
        <f aca="false">IF(ISNUMBER(E55),E55/Transaction!$B$24,"n.a.")</f>
        <v>2.92398684825406</v>
      </c>
      <c r="F56" s="5" t="n">
        <f aca="false">IF(ISNUMBER(F55),F55/Transaction!$B$24,"n.a.")</f>
        <v>3.310803574458</v>
      </c>
      <c r="G56" s="5" t="n">
        <f aca="false">IF(ISNUMBER(G55),G55/Transaction!$B$24,"n.a.")</f>
        <v>3.73680784191454</v>
      </c>
      <c r="H56" s="5" t="n">
        <f aca="false">IF(ISNUMBER(H55),H55/Transaction!$B$24,"n.a.")</f>
        <v>4.20663544123707</v>
      </c>
    </row>
    <row r="57" customFormat="false" ht="15" hidden="false" customHeight="false" outlineLevel="0" collapsed="false">
      <c r="A57" s="3" t="s">
        <v>10</v>
      </c>
      <c r="D57" s="6" t="n">
        <f aca="false">IF(ISNUMBER(D56),D56^(1/D$4)-1,"n.a.")</f>
        <v>1.57304923639835</v>
      </c>
      <c r="E57" s="6" t="n">
        <f aca="false">IF(ISNUMBER(E56),E56^(1/E$4)-1,"n.a.")</f>
        <v>0.709966914374093</v>
      </c>
      <c r="F57" s="6" t="n">
        <f aca="false">IF(ISNUMBER(F56),F56^(1/F$4)-1,"n.a.")</f>
        <v>0.490428472251831</v>
      </c>
      <c r="G57" s="6" t="n">
        <f aca="false">IF(ISNUMBER(G56),G56^(1/G$4)-1,"n.a.")</f>
        <v>0.390353362126349</v>
      </c>
      <c r="H57" s="6" t="n">
        <f aca="false">IF(ISNUMBER(H56),H56^(1/H$4)-1,"n.a.")</f>
        <v>0.332867490281536</v>
      </c>
    </row>
    <row r="58" customFormat="false" ht="15" hidden="false" customHeight="false" outlineLevel="0" collapsed="false">
      <c r="A58" s="12" t="s">
        <v>115</v>
      </c>
      <c r="D58" s="4" t="n">
        <f aca="false">IF(ISNUMBER(D55),D55*Transaction!$B$25,"n.a.")</f>
        <v>1848.47857142857</v>
      </c>
      <c r="E58" s="4" t="n">
        <f aca="false">IF(ISNUMBER(E55),E55*Transaction!$B$25,"n.a.")</f>
        <v>2100.59215178571</v>
      </c>
      <c r="F58" s="4" t="n">
        <f aca="false">IF(ISNUMBER(F55),F55*Transaction!$B$25,"n.a.")</f>
        <v>2378.48128789063</v>
      </c>
      <c r="G58" s="4" t="n">
        <f aca="false">IF(ISNUMBER(G55),G55*Transaction!$B$25,"n.a.")</f>
        <v>2684.5227536314</v>
      </c>
      <c r="H58" s="4" t="n">
        <f aca="false">IF(ISNUMBER(H55),H55*Transaction!$B$25,"n.a.")</f>
        <v>3022.04690098471</v>
      </c>
    </row>
    <row r="60" customFormat="false" ht="15" hidden="false" customHeight="false" outlineLevel="0" collapsed="false">
      <c r="A60" s="12" t="s">
        <v>116</v>
      </c>
      <c r="C60" s="11" t="n">
        <f aca="false">-Transaction!B24</f>
        <v>-718.4</v>
      </c>
      <c r="D60" s="4" t="n">
        <f aca="false">IF(D$4=Assumptions!$B$24,D55,0)</f>
        <v>0</v>
      </c>
      <c r="E60" s="4" t="n">
        <f aca="false">IF(E$4=Assumptions!$B$24,E55,0)</f>
        <v>0</v>
      </c>
      <c r="F60" s="4" t="n">
        <f aca="false">IF(F$4=Assumptions!$B$24,F55,0)</f>
        <v>0</v>
      </c>
      <c r="G60" s="4" t="n">
        <f aca="false">IF(G$4=Assumptions!$B$24,G55,0)</f>
        <v>0</v>
      </c>
      <c r="H60" s="4" t="n">
        <f aca="false">IF(H$4=Assumptions!$B$24,H55,0)</f>
        <v>3022.04690098471</v>
      </c>
    </row>
    <row r="61" customFormat="false" ht="15" hidden="false" customHeight="false" outlineLevel="0" collapsed="false">
      <c r="A61" s="12" t="s">
        <v>117</v>
      </c>
      <c r="C61" s="6" t="n">
        <f aca="false">IF(COUNT(C60:H60)=6,IF(SUM(D60:H60)=0,-1,IRR(C60:H60)),"n.a.")</f>
        <v>0.332867490281536</v>
      </c>
    </row>
    <row r="63" customFormat="false" ht="15" hidden="false" customHeight="false" outlineLevel="0" collapsed="false">
      <c r="A63" s="12" t="s">
        <v>118</v>
      </c>
      <c r="D63" s="4" t="n">
        <f aca="false">D47-(D46+D22+D19-D16-D40-SUM(D26,D31,D36))</f>
        <v>0</v>
      </c>
      <c r="E63" s="4" t="n">
        <f aca="false">E47-(E46+E22+E19-E16-E40-SUM(E26,E31,E36))</f>
        <v>0</v>
      </c>
      <c r="F63" s="4" t="n">
        <f aca="false">F47-(F46+F22+F19-F16-F40-SUM(F26,F31,F36))</f>
        <v>0</v>
      </c>
      <c r="G63" s="4" t="n">
        <f aca="false">G47-(G46+G22+G19-G16-G40-SUM(G26,G31,G36))</f>
        <v>0</v>
      </c>
      <c r="H63" s="4" t="n">
        <f aca="false">H47-(H46+H22+H19-H16-H40-SUM(H26,H31,H36))</f>
        <v>0</v>
      </c>
    </row>
    <row r="64" customFormat="false" ht="15" hidden="false" customHeight="false" outlineLevel="0" collapsed="false">
      <c r="A64" s="12" t="s">
        <v>119</v>
      </c>
      <c r="D64" s="4" t="n">
        <f aca="false">D49-(SUM(D24,D29,D34,D39)+D19-D16-D40-SUM(D26,D31,D36))</f>
        <v>0</v>
      </c>
      <c r="E64" s="4" t="n">
        <f aca="false">E49-(SUM(E24,E29,E34,E39)+E19-E16-E40-SUM(E26,E31,E36))</f>
        <v>0</v>
      </c>
      <c r="F64" s="4" t="n">
        <f aca="false">F49-(SUM(F24,F29,F34,F39)+F19-F16-F40-SUM(F26,F31,F36))</f>
        <v>0</v>
      </c>
      <c r="G64" s="4" t="n">
        <f aca="false">G49-(SUM(G24,G29,G34,G39)+G19-G16-G40-SUM(G26,G31,G36))</f>
        <v>0</v>
      </c>
      <c r="H64" s="4" t="n">
        <f aca="false">H49-(SUM(H24,H29,H34,H39)+H19-H16-H40-SUM(H26,H31,H36))</f>
        <v>0</v>
      </c>
    </row>
  </sheetData>
  <mergeCells count="1">
    <mergeCell ref="A2:H2"/>
  </mergeCells>
  <conditionalFormatting sqref="D48:H48">
    <cfRule type="cellIs" priority="2" operator="greaterThan" aboveAverage="0" equalAverage="0" bottom="0" percent="0" rank="0" text="" dxfId="0">
      <formula>0.000001</formula>
    </cfRule>
  </conditionalFormatting>
  <printOptions headings="false" gridLines="false" gridLinesSet="true" horizontalCentered="false" verticalCentered="false"/>
  <pageMargins left="0.7" right="0.7" top="0.75" bottom="0.75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&amp;LProspektLab · lbo-1.0&amp;RPage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3.71"/>
    <col collapsed="false" customWidth="true" hidden="false" outlineLevel="0" max="8" min="2" style="0" width="19.71"/>
  </cols>
  <sheetData>
    <row r="1" customFormat="false" ht="23.25" hidden="false" customHeight="false" outlineLevel="0" collapsed="false">
      <c r="A1" s="1" t="s">
        <v>120</v>
      </c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true" outlineLevel="0" collapsed="false">
      <c r="A3" s="2" t="s">
        <v>121</v>
      </c>
      <c r="B3" s="2"/>
      <c r="C3" s="2"/>
      <c r="D3" s="2"/>
      <c r="E3" s="2"/>
      <c r="F3" s="2"/>
      <c r="G3" s="2"/>
      <c r="H3" s="2"/>
    </row>
    <row r="5" customFormat="false" ht="15" hidden="false" customHeight="false" outlineLevel="0" collapsed="false">
      <c r="A5" s="3" t="s">
        <v>122</v>
      </c>
      <c r="B5" s="3" t="n">
        <v>3</v>
      </c>
      <c r="C5" s="3" t="n">
        <v>4</v>
      </c>
      <c r="D5" s="3" t="n">
        <v>5</v>
      </c>
    </row>
    <row r="6" customFormat="false" ht="15" hidden="false" customHeight="false" outlineLevel="0" collapsed="false">
      <c r="A6" s="5" t="n">
        <f aca="false">MAX(0.1,Assumptions!$B$23+(-2))</f>
        <v>9</v>
      </c>
      <c r="B6" s="6" t="n">
        <f aca="false">IF(SUM(Model!$D$48:INDEX(Model!$D$48:$H$48,1,B$5))&gt;0.000001,"n.a.",(MAX(0,$A6*INDEX(Model!$D$7:$H$7,1,B$5)-INDEX(Model!$D$50:$H$50,1,B$5)-INDEX(Model!$D$52:$H$52,1,B$5))/Transaction!$B$24)^(1/B$5)-1)</f>
        <v>0.38011137567747</v>
      </c>
      <c r="C6" s="6" t="n">
        <f aca="false">IF(SUM(Model!$D$48:INDEX(Model!$D$48:$H$48,1,C$5))&gt;0.000001,"n.a.",(MAX(0,$A6*INDEX(Model!$D$7:$H$7,1,C$5)-INDEX(Model!$D$50:$H$50,1,C$5)-INDEX(Model!$D$52:$H$52,1,C$5))/Transaction!$B$24)^(1/C$5)-1)</f>
        <v>0.316837325805546</v>
      </c>
      <c r="D6" s="6" t="n">
        <f aca="false">IF(SUM(Model!$D$48:INDEX(Model!$D$48:$H$48,1,D$5))&gt;0.000001,"n.a.",(MAX(0,$A6*INDEX(Model!$D$7:$H$7,1,D$5)-INDEX(Model!$D$50:$H$50,1,D$5)-INDEX(Model!$D$52:$H$52,1,D$5))/Transaction!$B$24)^(1/D$5)-1)</f>
        <v>0.279233968397953</v>
      </c>
    </row>
    <row r="7" customFormat="false" ht="15" hidden="false" customHeight="false" outlineLevel="0" collapsed="false">
      <c r="A7" s="5" t="n">
        <f aca="false">MAX(0.1,Assumptions!$B$23+(-1))</f>
        <v>10</v>
      </c>
      <c r="B7" s="6" t="n">
        <f aca="false">IF(SUM(Model!$D$48:INDEX(Model!$D$48:$H$48,1,B$5))&gt;0.000001,"n.a.",(MAX(0,$A7*INDEX(Model!$D$7:$H$7,1,B$5)-INDEX(Model!$D$50:$H$50,1,B$5)-INDEX(Model!$D$52:$H$52,1,B$5))/Transaction!$B$24)^(1/B$5)-1)</f>
        <v>0.43738658713235</v>
      </c>
      <c r="C7" s="6" t="n">
        <f aca="false">IF(SUM(Model!$D$48:INDEX(Model!$D$48:$H$48,1,C$5))&gt;0.000001,"n.a.",(MAX(0,$A7*INDEX(Model!$D$7:$H$7,1,C$5)-INDEX(Model!$D$50:$H$50,1,C$5)-INDEX(Model!$D$52:$H$52,1,C$5))/Transaction!$B$24)^(1/C$5)-1)</f>
        <v>0.355090341684014</v>
      </c>
      <c r="D7" s="6" t="n">
        <f aca="false">IF(SUM(Model!$D$48:INDEX(Model!$D$48:$H$48,1,D$5))&gt;0.000001,"n.a.",(MAX(0,$A7*INDEX(Model!$D$7:$H$7,1,D$5)-INDEX(Model!$D$50:$H$50,1,D$5)-INDEX(Model!$D$52:$H$52,1,D$5))/Transaction!$B$24)^(1/D$5)-1)</f>
        <v>0.307150349835619</v>
      </c>
    </row>
    <row r="8" customFormat="false" ht="15" hidden="false" customHeight="false" outlineLevel="0" collapsed="false">
      <c r="A8" s="5" t="n">
        <f aca="false">MAX(0.1,Assumptions!$B$23+(0))</f>
        <v>11</v>
      </c>
      <c r="B8" s="6" t="n">
        <f aca="false">IF(SUM(Model!$D$48:INDEX(Model!$D$48:$H$48,1,B$5))&gt;0.000001,"n.a.",(MAX(0,$A8*INDEX(Model!$D$7:$H$7,1,B$5)-INDEX(Model!$D$50:$H$50,1,B$5)-INDEX(Model!$D$52:$H$52,1,B$5))/Transaction!$B$24)^(1/B$5)-1)</f>
        <v>0.490428472251831</v>
      </c>
      <c r="C8" s="6" t="n">
        <f aca="false">IF(SUM(Model!$D$48:INDEX(Model!$D$48:$H$48,1,C$5))&gt;0.000001,"n.a.",(MAX(0,$A8*INDEX(Model!$D$7:$H$7,1,C$5)-INDEX(Model!$D$50:$H$50,1,C$5)-INDEX(Model!$D$52:$H$52,1,C$5))/Transaction!$B$24)^(1/C$5)-1)</f>
        <v>0.390353362126349</v>
      </c>
      <c r="D8" s="6" t="n">
        <f aca="false">IF(SUM(Model!$D$48:INDEX(Model!$D$48:$H$48,1,D$5))&gt;0.000001,"n.a.",(MAX(0,$A8*INDEX(Model!$D$7:$H$7,1,D$5)-INDEX(Model!$D$50:$H$50,1,D$5)-INDEX(Model!$D$52:$H$52,1,D$5))/Transaction!$B$24)^(1/D$5)-1)</f>
        <v>0.332867490281536</v>
      </c>
    </row>
    <row r="9" customFormat="false" ht="15" hidden="false" customHeight="false" outlineLevel="0" collapsed="false">
      <c r="A9" s="5" t="n">
        <f aca="false">MAX(0.1,Assumptions!$B$23+(1))</f>
        <v>12</v>
      </c>
      <c r="B9" s="6" t="n">
        <f aca="false">IF(SUM(Model!$D$48:INDEX(Model!$D$48:$H$48,1,B$5))&gt;0.000001,"n.a.",(MAX(0,$A9*INDEX(Model!$D$7:$H$7,1,B$5)-INDEX(Model!$D$50:$H$50,1,B$5)-INDEX(Model!$D$52:$H$52,1,B$5))/Transaction!$B$24)^(1/B$5)-1)</f>
        <v>0.539941975135468</v>
      </c>
      <c r="C9" s="6" t="n">
        <f aca="false">IF(SUM(Model!$D$48:INDEX(Model!$D$48:$H$48,1,C$5))&gt;0.000001,"n.a.",(MAX(0,$A9*INDEX(Model!$D$7:$H$7,1,C$5)-INDEX(Model!$D$50:$H$50,1,C$5)-INDEX(Model!$D$52:$H$52,1,C$5))/Transaction!$B$24)^(1/C$5)-1)</f>
        <v>0.42312069760837</v>
      </c>
      <c r="D9" s="6" t="n">
        <f aca="false">IF(SUM(Model!$D$48:INDEX(Model!$D$48:$H$48,1,D$5))&gt;0.000001,"n.a.",(MAX(0,$A9*INDEX(Model!$D$7:$H$7,1,D$5)-INDEX(Model!$D$50:$H$50,1,D$5)-INDEX(Model!$D$52:$H$52,1,D$5))/Transaction!$B$24)^(1/D$5)-1)</f>
        <v>0.356740552693038</v>
      </c>
    </row>
    <row r="10" customFormat="false" ht="15" hidden="false" customHeight="false" outlineLevel="0" collapsed="false">
      <c r="A10" s="5" t="n">
        <f aca="false">MAX(0.1,Assumptions!$B$23+(2))</f>
        <v>13</v>
      </c>
      <c r="B10" s="6" t="n">
        <f aca="false">IF(SUM(Model!$D$48:INDEX(Model!$D$48:$H$48,1,B$5))&gt;0.000001,"n.a.",(MAX(0,$A10*INDEX(Model!$D$7:$H$7,1,B$5)-INDEX(Model!$D$50:$H$50,1,B$5)-INDEX(Model!$D$52:$H$52,1,B$5))/Transaction!$B$24)^(1/B$5)-1)</f>
        <v>0.586461122652681</v>
      </c>
      <c r="C10" s="6" t="n">
        <f aca="false">IF(SUM(Model!$D$48:INDEX(Model!$D$48:$H$48,1,C$5))&gt;0.000001,"n.a.",(MAX(0,$A10*INDEX(Model!$D$7:$H$7,1,C$5)-INDEX(Model!$D$50:$H$50,1,C$5)-INDEX(Model!$D$52:$H$52,1,C$5))/Transaction!$B$24)^(1/C$5)-1)</f>
        <v>0.453769234864177</v>
      </c>
      <c r="D10" s="6" t="n">
        <f aca="false">IF(SUM(Model!$D$48:INDEX(Model!$D$48:$H$48,1,D$5))&gt;0.000001,"n.a.",(MAX(0,$A10*INDEX(Model!$D$7:$H$7,1,D$5)-INDEX(Model!$D$50:$H$50,1,D$5)-INDEX(Model!$D$52:$H$52,1,D$5))/Transaction!$B$24)^(1/D$5)-1)</f>
        <v>0.379042769265639</v>
      </c>
    </row>
  </sheetData>
  <mergeCells count="2">
    <mergeCell ref="A2:H2"/>
    <mergeCell ref="A3:H3"/>
  </mergeCells>
  <printOptions headings="false" gridLines="false" gridLinesSet="true" horizontalCentered="false" verticalCentered="false"/>
  <pageMargins left="0.7" right="0.7" top="0.75" bottom="0.75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&amp;LProspektLab · lbo-1.0&amp;RPage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.71"/>
    <col collapsed="false" customWidth="true" hidden="false" outlineLevel="0" max="4" min="2" style="0" width="20.71"/>
    <col collapsed="false" customWidth="true" hidden="false" outlineLevel="0" max="5" min="5" style="0" width="70.71"/>
    <col collapsed="false" customWidth="true" hidden="false" outlineLevel="0" max="6" min="6" style="0" width="12.71"/>
    <col collapsed="false" customWidth="true" hidden="false" outlineLevel="0" max="7" min="7" style="0" width="80.71"/>
    <col collapsed="false" customWidth="true" hidden="false" outlineLevel="0" max="8" min="8" style="0" width="19.71"/>
  </cols>
  <sheetData>
    <row r="1" customFormat="false" ht="23.25" hidden="false" customHeight="false" outlineLevel="0" collapsed="false">
      <c r="A1" s="1" t="s">
        <v>123</v>
      </c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124</v>
      </c>
      <c r="B4" s="3" t="s">
        <v>125</v>
      </c>
      <c r="C4" s="3" t="s">
        <v>126</v>
      </c>
      <c r="D4" s="3" t="s">
        <v>127</v>
      </c>
      <c r="E4" s="3" t="s">
        <v>128</v>
      </c>
      <c r="F4" s="3" t="s">
        <v>129</v>
      </c>
      <c r="G4" s="3" t="s">
        <v>130</v>
      </c>
    </row>
    <row r="5" customFormat="false" ht="15" hidden="false" customHeight="true" outlineLevel="0" collapsed="false">
      <c r="A5" s="7" t="s">
        <v>131</v>
      </c>
      <c r="B5" s="7"/>
      <c r="C5" s="7"/>
      <c r="D5" s="7"/>
      <c r="E5" s="7"/>
      <c r="F5" s="7"/>
      <c r="G5" s="7"/>
    </row>
    <row r="6" customFormat="false" ht="15" hidden="false" customHeight="false" outlineLevel="0" collapsed="false">
      <c r="A6" s="7"/>
      <c r="B6" s="7"/>
      <c r="C6" s="7"/>
      <c r="D6" s="7"/>
      <c r="E6" s="7"/>
      <c r="F6" s="7"/>
      <c r="G6" s="7"/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7"/>
    </row>
  </sheetData>
  <mergeCells count="2">
    <mergeCell ref="A2:H2"/>
    <mergeCell ref="A5:G7"/>
  </mergeCells>
  <printOptions headings="false" gridLines="false" gridLinesSet="true" horizontalCentered="false" verticalCentered="false"/>
  <pageMargins left="0.7" right="0.7" top="0.75" bottom="0.75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&amp;LProspektLab · lbo-1.0&amp;RPage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  <Company>ProspektLab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2026-10-25T06:15:05Z</dcterms:created>
  <dc:creator/>
  <dc:description>lbo-1.0</dc:description>
  <dc:language>en-IN</dc:language>
  <cp:lastModifiedBy/>
  <dcterms:modified xsi:type="dcterms:W3CDTF">2026-10-25T06:15:05Z</dcterms:modified>
  <cp:revision>0</cp:revision>
  <dc:subject/>
  <dc:title>Example Manufacturing Ltd (illustrative) — Illustrative LBO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